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Обменник\"/>
    </mc:Choice>
  </mc:AlternateContent>
  <xr:revisionPtr revIDLastSave="0" documentId="8_{38F9778C-B3AD-4D30-91BE-D655D44E2AA5}" xr6:coauthVersionLast="40" xr6:coauthVersionMax="40" xr10:uidLastSave="{00000000-0000-0000-0000-000000000000}"/>
  <bookViews>
    <workbookView showSheetTabs="0" xWindow="32760" yWindow="32760" windowWidth="9300" windowHeight="4755" tabRatio="0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J1199" i="1" l="1"/>
  <c r="J1198" i="1"/>
  <c r="J1197" i="1"/>
  <c r="J1196" i="1"/>
  <c r="J1195" i="1"/>
  <c r="J1194" i="1"/>
  <c r="J1193" i="1"/>
  <c r="J1192" i="1"/>
  <c r="J1191" i="1"/>
  <c r="J1190" i="1"/>
  <c r="J1189" i="1"/>
  <c r="J1188" i="1"/>
  <c r="J1187" i="1"/>
  <c r="J1186" i="1"/>
  <c r="J1185" i="1"/>
  <c r="J1184" i="1"/>
  <c r="J1183" i="1"/>
  <c r="J1182" i="1"/>
  <c r="J1181" i="1"/>
  <c r="J1180" i="1"/>
  <c r="J1179" i="1"/>
  <c r="J1178" i="1"/>
  <c r="J1177" i="1"/>
  <c r="J1176" i="1"/>
  <c r="J1175" i="1"/>
  <c r="J1174" i="1"/>
  <c r="J1173" i="1"/>
  <c r="J1172" i="1"/>
  <c r="J1171" i="1"/>
  <c r="J1170" i="1"/>
  <c r="J1169" i="1"/>
  <c r="J1168" i="1"/>
  <c r="J1167" i="1"/>
  <c r="J1166" i="1"/>
  <c r="J1165" i="1"/>
  <c r="J1164" i="1"/>
  <c r="J1163" i="1"/>
  <c r="J1162" i="1"/>
  <c r="J1161" i="1"/>
  <c r="J1160" i="1"/>
  <c r="J1159" i="1"/>
  <c r="J1158" i="1"/>
  <c r="J1157" i="1"/>
  <c r="J1156" i="1"/>
  <c r="J1155" i="1"/>
  <c r="J1154" i="1"/>
  <c r="J1153" i="1"/>
  <c r="J1152" i="1"/>
  <c r="J1151" i="1"/>
  <c r="J1150" i="1"/>
  <c r="J1149" i="1"/>
  <c r="J1148" i="1"/>
  <c r="J1147" i="1"/>
  <c r="J1146" i="1"/>
  <c r="J1145" i="1"/>
  <c r="J1144" i="1"/>
  <c r="J1143" i="1"/>
  <c r="J1142" i="1"/>
  <c r="J1141" i="1"/>
  <c r="J1140" i="1"/>
  <c r="J1139" i="1"/>
  <c r="J1138" i="1"/>
  <c r="J1137" i="1"/>
  <c r="J1136" i="1"/>
  <c r="J1135" i="1"/>
  <c r="J1134" i="1"/>
  <c r="J1132" i="1"/>
  <c r="J1131" i="1"/>
  <c r="J1130" i="1"/>
  <c r="J1129" i="1"/>
  <c r="J1128" i="1"/>
  <c r="J1127" i="1"/>
  <c r="J1126" i="1"/>
  <c r="J1125" i="1"/>
  <c r="J1124" i="1"/>
  <c r="J1123" i="1"/>
  <c r="J1122" i="1"/>
  <c r="J1121" i="1"/>
  <c r="J1120" i="1"/>
  <c r="J1119" i="1"/>
  <c r="J1118" i="1"/>
  <c r="J1117" i="1"/>
  <c r="J1116" i="1"/>
  <c r="J1115" i="1"/>
  <c r="J1114" i="1"/>
  <c r="J1113" i="1"/>
  <c r="J1112" i="1"/>
  <c r="J1111" i="1"/>
  <c r="J1110" i="1"/>
  <c r="J1109" i="1"/>
  <c r="J1108" i="1"/>
  <c r="J1107" i="1"/>
  <c r="J1106" i="1"/>
  <c r="J1105" i="1"/>
  <c r="J1104" i="1"/>
  <c r="J1103" i="1"/>
  <c r="J1102" i="1"/>
  <c r="J1101" i="1"/>
  <c r="J1100" i="1"/>
  <c r="J1099" i="1"/>
  <c r="J1098" i="1"/>
  <c r="J1097" i="1"/>
  <c r="J1096" i="1"/>
  <c r="J1094" i="1"/>
  <c r="J1093" i="1"/>
  <c r="J1092" i="1"/>
  <c r="J1091" i="1"/>
  <c r="J1090" i="1"/>
  <c r="J1089" i="1"/>
  <c r="J1088" i="1"/>
  <c r="J1087" i="1"/>
  <c r="J1086" i="1"/>
  <c r="J1085" i="1"/>
  <c r="J1084" i="1"/>
  <c r="J1083" i="1"/>
  <c r="J1082" i="1"/>
  <c r="J1081" i="1"/>
  <c r="J1080" i="1"/>
  <c r="J1079" i="1"/>
  <c r="J1078" i="1"/>
  <c r="J1077" i="1"/>
  <c r="J1076" i="1"/>
  <c r="J1075" i="1"/>
  <c r="J1074" i="1"/>
  <c r="J1073" i="1"/>
  <c r="J1072" i="1"/>
  <c r="J1071" i="1"/>
  <c r="J1070" i="1"/>
  <c r="J1069" i="1"/>
  <c r="J1068" i="1"/>
  <c r="J1067" i="1"/>
  <c r="J1066" i="1"/>
  <c r="J1065" i="1"/>
  <c r="J1064" i="1"/>
  <c r="J1063" i="1"/>
  <c r="J1061" i="1"/>
  <c r="J1059" i="1"/>
  <c r="J1058" i="1"/>
  <c r="J1057" i="1"/>
  <c r="J1056" i="1"/>
  <c r="J1054" i="1"/>
  <c r="J1053" i="1"/>
  <c r="J1052" i="1"/>
  <c r="J1051" i="1"/>
  <c r="J1050" i="1"/>
  <c r="J1049" i="1"/>
  <c r="J1048" i="1"/>
  <c r="J1047" i="1"/>
  <c r="J1046" i="1"/>
  <c r="J1044" i="1"/>
  <c r="J1043" i="1"/>
  <c r="J1042" i="1"/>
  <c r="J1040" i="1"/>
  <c r="J1039" i="1"/>
  <c r="J1038" i="1"/>
  <c r="J1037" i="1"/>
  <c r="J1036" i="1"/>
  <c r="J1035" i="1"/>
  <c r="J1033" i="1"/>
  <c r="J1032" i="1"/>
  <c r="J1031" i="1"/>
  <c r="J1030" i="1"/>
  <c r="J1029" i="1"/>
  <c r="J1028" i="1"/>
  <c r="J1027" i="1"/>
  <c r="J1026" i="1"/>
  <c r="J1025" i="1"/>
  <c r="J1024" i="1"/>
  <c r="J1023" i="1"/>
  <c r="J1022" i="1"/>
  <c r="J1021" i="1"/>
  <c r="J1020" i="1"/>
  <c r="J1019" i="1"/>
  <c r="J1018" i="1"/>
  <c r="J1017" i="1"/>
  <c r="J1016" i="1"/>
  <c r="J1015" i="1"/>
  <c r="J1014" i="1"/>
  <c r="J1013" i="1"/>
  <c r="J1012" i="1"/>
  <c r="J1011" i="1"/>
  <c r="J1010" i="1"/>
  <c r="J1009" i="1"/>
  <c r="J1008" i="1"/>
  <c r="J1007" i="1"/>
  <c r="J1006" i="1"/>
  <c r="J1005" i="1"/>
  <c r="J1004" i="1"/>
  <c r="J1003" i="1"/>
  <c r="J1002" i="1"/>
  <c r="J1001" i="1"/>
  <c r="J1000" i="1"/>
  <c r="J999" i="1"/>
  <c r="J998" i="1"/>
  <c r="J997" i="1"/>
  <c r="J995" i="1"/>
  <c r="J994" i="1"/>
  <c r="J993" i="1"/>
  <c r="J992" i="1"/>
  <c r="J991" i="1"/>
  <c r="J990" i="1"/>
  <c r="J989" i="1"/>
  <c r="J988" i="1"/>
  <c r="J986" i="1"/>
  <c r="J985" i="1"/>
  <c r="J984" i="1"/>
  <c r="J983" i="1"/>
  <c r="J982" i="1"/>
  <c r="J981" i="1"/>
  <c r="J980" i="1"/>
  <c r="J979" i="1"/>
  <c r="J978" i="1"/>
  <c r="J977" i="1"/>
  <c r="J976" i="1"/>
  <c r="J975" i="1"/>
  <c r="J974" i="1"/>
  <c r="J973" i="1"/>
  <c r="J972" i="1"/>
  <c r="J971" i="1"/>
  <c r="J970" i="1"/>
  <c r="J969" i="1"/>
  <c r="J967" i="1"/>
  <c r="J965" i="1"/>
  <c r="J964" i="1"/>
  <c r="J963" i="1"/>
  <c r="J962" i="1"/>
  <c r="J961" i="1"/>
  <c r="J960" i="1"/>
  <c r="J959" i="1"/>
  <c r="J958" i="1"/>
  <c r="J957" i="1"/>
  <c r="J956" i="1"/>
  <c r="J955" i="1"/>
  <c r="J954" i="1"/>
  <c r="J953" i="1"/>
  <c r="J952" i="1"/>
  <c r="J951" i="1"/>
  <c r="J950" i="1"/>
  <c r="J949" i="1"/>
  <c r="J948" i="1"/>
  <c r="J946" i="1"/>
  <c r="J944" i="1"/>
  <c r="J943" i="1"/>
  <c r="J942" i="1"/>
  <c r="J941" i="1"/>
  <c r="J940" i="1"/>
  <c r="J939" i="1"/>
  <c r="J938" i="1"/>
  <c r="J937" i="1"/>
  <c r="J936" i="1"/>
  <c r="J935" i="1"/>
  <c r="J933" i="1"/>
  <c r="J932" i="1"/>
  <c r="J931" i="1"/>
  <c r="J930" i="1"/>
  <c r="J929" i="1"/>
  <c r="J928" i="1"/>
  <c r="J927" i="1"/>
  <c r="J926" i="1"/>
  <c r="J925" i="1"/>
  <c r="J924" i="1"/>
  <c r="J923" i="1"/>
  <c r="J922" i="1"/>
  <c r="J921" i="1"/>
  <c r="J920" i="1"/>
  <c r="J919" i="1"/>
  <c r="J918" i="1"/>
  <c r="J917" i="1"/>
  <c r="J916" i="1"/>
  <c r="J915" i="1"/>
  <c r="J914" i="1"/>
  <c r="J913" i="1"/>
  <c r="J912" i="1"/>
  <c r="J911" i="1"/>
  <c r="J910" i="1"/>
  <c r="J909" i="1"/>
  <c r="J908" i="1"/>
  <c r="J907" i="1"/>
  <c r="J906" i="1"/>
  <c r="J905" i="1"/>
  <c r="J904" i="1"/>
  <c r="J903" i="1"/>
  <c r="J902" i="1"/>
  <c r="J901" i="1"/>
  <c r="J900" i="1"/>
  <c r="J899" i="1"/>
  <c r="J898" i="1"/>
  <c r="J897" i="1"/>
  <c r="J896" i="1"/>
  <c r="J895" i="1"/>
  <c r="J894" i="1"/>
  <c r="J893" i="1"/>
  <c r="J892" i="1"/>
  <c r="J891" i="1"/>
  <c r="J890" i="1"/>
  <c r="J889" i="1"/>
  <c r="J888" i="1"/>
  <c r="J887" i="1"/>
  <c r="J886" i="1"/>
  <c r="J885" i="1"/>
  <c r="J884" i="1"/>
  <c r="J883" i="1"/>
  <c r="J882" i="1"/>
  <c r="J881" i="1"/>
  <c r="J880" i="1"/>
  <c r="J879" i="1"/>
  <c r="J878" i="1"/>
  <c r="J877" i="1"/>
  <c r="J876" i="1"/>
  <c r="J875" i="1"/>
  <c r="J874" i="1"/>
  <c r="J872" i="1"/>
  <c r="J871" i="1"/>
  <c r="J870" i="1"/>
  <c r="J869" i="1"/>
  <c r="J868" i="1"/>
  <c r="J867" i="1"/>
  <c r="J866" i="1"/>
  <c r="J865" i="1"/>
  <c r="J864" i="1"/>
  <c r="J863" i="1"/>
  <c r="J862" i="1"/>
  <c r="J861" i="1"/>
  <c r="J860" i="1"/>
  <c r="J859" i="1"/>
  <c r="J858" i="1"/>
  <c r="J857" i="1"/>
  <c r="J856" i="1"/>
  <c r="J855" i="1"/>
  <c r="J854" i="1"/>
  <c r="J853" i="1"/>
  <c r="J852" i="1"/>
  <c r="J851" i="1"/>
  <c r="J850" i="1"/>
  <c r="J849" i="1"/>
  <c r="J848" i="1"/>
  <c r="J847" i="1"/>
  <c r="J846" i="1"/>
  <c r="J845" i="1"/>
  <c r="J844" i="1"/>
  <c r="J843" i="1"/>
  <c r="J842" i="1"/>
  <c r="J841" i="1"/>
  <c r="J840" i="1"/>
  <c r="J839" i="1"/>
  <c r="J838" i="1"/>
  <c r="J837" i="1"/>
  <c r="J836" i="1"/>
  <c r="J835" i="1"/>
  <c r="J834" i="1"/>
  <c r="J833" i="1"/>
  <c r="J832" i="1"/>
  <c r="J831" i="1"/>
  <c r="J830" i="1"/>
  <c r="J829" i="1"/>
  <c r="J828" i="1"/>
  <c r="J827" i="1"/>
  <c r="J826" i="1"/>
  <c r="J825" i="1"/>
  <c r="J824" i="1"/>
  <c r="J823" i="1"/>
  <c r="J822" i="1"/>
  <c r="J821" i="1"/>
  <c r="J820" i="1"/>
  <c r="J819" i="1"/>
  <c r="J818" i="1"/>
  <c r="J817" i="1"/>
  <c r="J816" i="1"/>
  <c r="J815" i="1"/>
  <c r="J814" i="1"/>
  <c r="J812" i="1"/>
  <c r="J811" i="1"/>
  <c r="J810" i="1"/>
  <c r="J809" i="1"/>
  <c r="J808" i="1"/>
  <c r="J807" i="1"/>
  <c r="J806" i="1"/>
  <c r="J805" i="1"/>
  <c r="J804" i="1"/>
  <c r="J803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8" i="1"/>
  <c r="J787" i="1"/>
  <c r="J786" i="1"/>
  <c r="J785" i="1"/>
  <c r="J784" i="1"/>
  <c r="J783" i="1"/>
  <c r="J782" i="1"/>
  <c r="J781" i="1"/>
  <c r="J780" i="1"/>
  <c r="J779" i="1"/>
  <c r="J778" i="1"/>
  <c r="J777" i="1"/>
  <c r="J776" i="1"/>
  <c r="J775" i="1"/>
  <c r="J774" i="1"/>
  <c r="J773" i="1"/>
  <c r="J772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9" i="1"/>
  <c r="J758" i="1"/>
  <c r="J757" i="1"/>
  <c r="J756" i="1"/>
  <c r="J755" i="1"/>
  <c r="J754" i="1"/>
  <c r="J753" i="1"/>
  <c r="J752" i="1"/>
  <c r="J751" i="1"/>
  <c r="J750" i="1"/>
  <c r="J749" i="1"/>
  <c r="J748" i="1"/>
  <c r="J747" i="1"/>
  <c r="J746" i="1"/>
  <c r="J745" i="1"/>
  <c r="J744" i="1"/>
  <c r="J743" i="1"/>
  <c r="J742" i="1"/>
  <c r="J741" i="1"/>
  <c r="J740" i="1"/>
  <c r="J739" i="1"/>
  <c r="J738" i="1"/>
  <c r="J737" i="1"/>
  <c r="J736" i="1"/>
  <c r="J735" i="1"/>
  <c r="J734" i="1"/>
  <c r="J733" i="1"/>
  <c r="J732" i="1"/>
  <c r="J731" i="1"/>
  <c r="J730" i="1"/>
  <c r="J728" i="1"/>
  <c r="J727" i="1"/>
  <c r="J726" i="1"/>
  <c r="J725" i="1"/>
  <c r="J724" i="1"/>
  <c r="J723" i="1"/>
  <c r="J722" i="1"/>
  <c r="J721" i="1"/>
  <c r="J720" i="1"/>
  <c r="J719" i="1"/>
  <c r="J718" i="1"/>
  <c r="J717" i="1"/>
  <c r="J716" i="1"/>
  <c r="J715" i="1"/>
  <c r="J713" i="1"/>
  <c r="J712" i="1"/>
  <c r="J711" i="1"/>
  <c r="J710" i="1"/>
  <c r="J709" i="1"/>
  <c r="J708" i="1"/>
  <c r="J707" i="1"/>
  <c r="J706" i="1"/>
  <c r="J705" i="1"/>
  <c r="J704" i="1"/>
  <c r="J703" i="1"/>
  <c r="J702" i="1"/>
  <c r="J701" i="1"/>
  <c r="J700" i="1"/>
  <c r="J699" i="1"/>
  <c r="J698" i="1"/>
  <c r="J697" i="1"/>
  <c r="J696" i="1"/>
  <c r="J695" i="1"/>
  <c r="J694" i="1"/>
  <c r="J693" i="1"/>
  <c r="J692" i="1"/>
  <c r="J691" i="1"/>
  <c r="J690" i="1"/>
  <c r="J689" i="1"/>
  <c r="J688" i="1"/>
  <c r="J687" i="1"/>
  <c r="J686" i="1"/>
  <c r="J685" i="1"/>
  <c r="J684" i="1"/>
  <c r="J683" i="1"/>
  <c r="J682" i="1"/>
  <c r="J681" i="1"/>
  <c r="J680" i="1"/>
  <c r="J679" i="1"/>
  <c r="J678" i="1"/>
  <c r="J677" i="1"/>
  <c r="J676" i="1"/>
  <c r="J675" i="1"/>
  <c r="J674" i="1"/>
  <c r="J673" i="1"/>
  <c r="J672" i="1"/>
  <c r="J671" i="1"/>
  <c r="J670" i="1"/>
  <c r="J669" i="1"/>
  <c r="J668" i="1"/>
  <c r="J667" i="1"/>
  <c r="J666" i="1"/>
  <c r="J665" i="1"/>
  <c r="J664" i="1"/>
  <c r="J663" i="1"/>
  <c r="J662" i="1"/>
  <c r="J661" i="1"/>
  <c r="J660" i="1"/>
  <c r="J65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6" i="1"/>
  <c r="J645" i="1"/>
  <c r="J644" i="1"/>
  <c r="J643" i="1"/>
  <c r="J642" i="1"/>
  <c r="J641" i="1"/>
  <c r="J640" i="1"/>
  <c r="J639" i="1"/>
  <c r="J638" i="1"/>
  <c r="J637" i="1"/>
  <c r="J636" i="1"/>
  <c r="J635" i="1"/>
  <c r="J634" i="1"/>
  <c r="J633" i="1"/>
  <c r="J632" i="1"/>
  <c r="J631" i="1"/>
  <c r="J630" i="1"/>
  <c r="J629" i="1"/>
  <c r="J628" i="1"/>
  <c r="J627" i="1"/>
  <c r="J626" i="1"/>
  <c r="J625" i="1"/>
  <c r="J624" i="1"/>
  <c r="J623" i="1"/>
  <c r="J622" i="1"/>
  <c r="J621" i="1"/>
  <c r="J620" i="1"/>
  <c r="J619" i="1"/>
  <c r="J618" i="1"/>
  <c r="J617" i="1"/>
  <c r="J616" i="1"/>
  <c r="J615" i="1"/>
  <c r="J614" i="1"/>
  <c r="J613" i="1"/>
  <c r="J612" i="1"/>
  <c r="J611" i="1"/>
  <c r="J610" i="1"/>
  <c r="J609" i="1"/>
  <c r="J608" i="1"/>
  <c r="J607" i="1"/>
  <c r="J606" i="1"/>
  <c r="J605" i="1"/>
  <c r="J604" i="1"/>
  <c r="J603" i="1"/>
  <c r="J602" i="1"/>
  <c r="J601" i="1"/>
  <c r="J600" i="1"/>
  <c r="J599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84" i="1"/>
  <c r="J583" i="1"/>
  <c r="J582" i="1"/>
  <c r="J581" i="1"/>
  <c r="J580" i="1"/>
  <c r="J579" i="1"/>
  <c r="J578" i="1"/>
  <c r="J577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2" i="1"/>
  <c r="J551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6" i="1"/>
  <c r="J535" i="1"/>
  <c r="J534" i="1"/>
  <c r="J533" i="1"/>
  <c r="J532" i="1"/>
  <c r="J531" i="1"/>
  <c r="J530" i="1"/>
  <c r="J529" i="1"/>
  <c r="J527" i="1"/>
  <c r="J526" i="1"/>
  <c r="J525" i="1"/>
  <c r="J524" i="1"/>
  <c r="J523" i="1"/>
  <c r="J522" i="1"/>
  <c r="J521" i="1"/>
  <c r="J520" i="1"/>
  <c r="J519" i="1"/>
  <c r="J518" i="1"/>
  <c r="J517" i="1"/>
  <c r="J516" i="1"/>
  <c r="J515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9" i="1"/>
  <c r="J498" i="1"/>
  <c r="J497" i="1"/>
  <c r="J496" i="1"/>
  <c r="J495" i="1"/>
  <c r="J494" i="1"/>
  <c r="J493" i="1"/>
  <c r="J492" i="1"/>
  <c r="J491" i="1"/>
  <c r="J490" i="1"/>
  <c r="J488" i="1"/>
  <c r="J487" i="1"/>
  <c r="J486" i="1"/>
  <c r="J485" i="1"/>
  <c r="J484" i="1"/>
  <c r="J483" i="1"/>
  <c r="J480" i="1"/>
  <c r="J479" i="1"/>
  <c r="J478" i="1"/>
  <c r="J477" i="1"/>
  <c r="J476" i="1"/>
  <c r="J475" i="1"/>
  <c r="J474" i="1"/>
  <c r="J473" i="1"/>
  <c r="J472" i="1"/>
  <c r="J470" i="1"/>
  <c r="J469" i="1"/>
  <c r="J468" i="1"/>
  <c r="J467" i="1"/>
  <c r="J465" i="1"/>
  <c r="J463" i="1"/>
  <c r="J462" i="1"/>
  <c r="J461" i="1"/>
  <c r="J460" i="1"/>
  <c r="J459" i="1"/>
  <c r="J458" i="1"/>
  <c r="J457" i="1"/>
  <c r="J456" i="1"/>
  <c r="J455" i="1"/>
  <c r="J454" i="1"/>
  <c r="J453" i="1"/>
  <c r="J452" i="1"/>
  <c r="J450" i="1"/>
  <c r="J449" i="1"/>
  <c r="J448" i="1"/>
  <c r="J447" i="1"/>
  <c r="J446" i="1"/>
  <c r="J445" i="1"/>
  <c r="J444" i="1"/>
  <c r="J443" i="1"/>
  <c r="J442" i="1"/>
  <c r="J441" i="1"/>
  <c r="J440" i="1"/>
  <c r="J438" i="1"/>
  <c r="J437" i="1"/>
  <c r="J436" i="1"/>
  <c r="J435" i="1"/>
  <c r="J434" i="1"/>
  <c r="J433" i="1"/>
  <c r="J432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2" i="1"/>
  <c r="J411" i="1"/>
  <c r="J410" i="1"/>
  <c r="J409" i="1"/>
  <c r="J408" i="1"/>
  <c r="J406" i="1"/>
  <c r="J405" i="1"/>
  <c r="J404" i="1"/>
  <c r="J403" i="1"/>
  <c r="J402" i="1"/>
  <c r="J401" i="1"/>
  <c r="J400" i="1"/>
  <c r="J399" i="1"/>
  <c r="J398" i="1"/>
  <c r="J397" i="1"/>
  <c r="J396" i="1"/>
  <c r="J395" i="1"/>
  <c r="J394" i="1"/>
  <c r="J393" i="1"/>
  <c r="J392" i="1"/>
  <c r="J391" i="1"/>
  <c r="J390" i="1"/>
  <c r="J389" i="1"/>
  <c r="J388" i="1"/>
  <c r="J387" i="1"/>
  <c r="J386" i="1"/>
  <c r="J385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6" i="1"/>
  <c r="J365" i="1"/>
  <c r="J364" i="1"/>
  <c r="J363" i="1"/>
  <c r="J362" i="1"/>
  <c r="J361" i="1"/>
  <c r="J360" i="1"/>
  <c r="J359" i="1"/>
  <c r="J358" i="1"/>
  <c r="J356" i="1"/>
  <c r="J355" i="1"/>
  <c r="J353" i="1"/>
  <c r="J352" i="1"/>
  <c r="J351" i="1"/>
  <c r="J350" i="1"/>
  <c r="J349" i="1"/>
  <c r="J348" i="1"/>
  <c r="J347" i="1"/>
  <c r="J346" i="1"/>
  <c r="J345" i="1"/>
  <c r="J344" i="1"/>
  <c r="J342" i="1"/>
  <c r="J341" i="1"/>
  <c r="J339" i="1"/>
  <c r="J338" i="1"/>
  <c r="J336" i="1"/>
  <c r="J335" i="1"/>
  <c r="J334" i="1"/>
  <c r="J333" i="1"/>
  <c r="J332" i="1"/>
  <c r="J331" i="1"/>
  <c r="J330" i="1"/>
  <c r="J329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8" i="1"/>
  <c r="J127" i="1"/>
  <c r="J126" i="1"/>
  <c r="J125" i="1"/>
  <c r="J124" i="1"/>
  <c r="J123" i="1"/>
  <c r="J122" i="1"/>
  <c r="J121" i="1"/>
  <c r="J120" i="1"/>
  <c r="J119" i="1"/>
  <c r="J117" i="1"/>
  <c r="J116" i="1"/>
  <c r="J115" i="1"/>
  <c r="J113" i="1"/>
  <c r="J112" i="1"/>
  <c r="J111" i="1"/>
  <c r="J110" i="1"/>
  <c r="J109" i="1"/>
  <c r="J108" i="1"/>
  <c r="J107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200" i="1"/>
</calcChain>
</file>

<file path=xl/sharedStrings.xml><?xml version="1.0" encoding="utf-8"?>
<sst xmlns="http://schemas.openxmlformats.org/spreadsheetml/2006/main" count="5793" uniqueCount="1486">
  <si>
    <t>Иркутск, ул. Олега Кошевого, 65/26. база ИркутскСтройОптТорг</t>
  </si>
  <si>
    <t>тел./факс: (3952) 48-55-66</t>
  </si>
  <si>
    <t>17 Ноября 2025 г.</t>
  </si>
  <si>
    <t>сайт: www.salut-1.ru</t>
  </si>
  <si>
    <t>e-mail: info@salut-1.ru</t>
  </si>
  <si>
    <t>В прайс-листе представлен только имеющийся в наличии товар !</t>
  </si>
  <si>
    <t>НОВИНКА</t>
  </si>
  <si>
    <t>НАРОДНАЯ-ЦЕНА (цена значительно ниже аналогов)</t>
  </si>
  <si>
    <t>АКЦИЯ (цена снижена)</t>
  </si>
  <si>
    <t>Наименование товаров</t>
  </si>
  <si>
    <t>Кол-во выстрелов</t>
  </si>
  <si>
    <t>Производитель</t>
  </si>
  <si>
    <t>Оптовая</t>
  </si>
  <si>
    <t>Минимальная партия</t>
  </si>
  <si>
    <t>Заказ</t>
  </si>
  <si>
    <t>Сумма</t>
  </si>
  <si>
    <t>10</t>
  </si>
  <si>
    <t>01. Бенгальские свечи</t>
  </si>
  <si>
    <t>3</t>
  </si>
  <si>
    <t>СС1021 Свечи бенгальские 165мм. 12/48/(6) (уп.) АКЦИЯ!!!</t>
  </si>
  <si>
    <t xml:space="preserve"> </t>
  </si>
  <si>
    <t>СуперСалют</t>
  </si>
  <si>
    <t>уп.</t>
  </si>
  <si>
    <t>48 уп. (блок)</t>
  </si>
  <si>
    <t>0977 Бенгальские огни 160 мм. (6 шт. в уп.) *1/5/100/(6) (уп.)</t>
  </si>
  <si>
    <t>MAXSEM</t>
  </si>
  <si>
    <t>1 упаковка</t>
  </si>
  <si>
    <t>Бенгальская свеча 150 мм "Новогодние" (УПЗ) (СБ150Н5) (5шт. желтые) *1/280 (уп.)</t>
  </si>
  <si>
    <t>УПЗ</t>
  </si>
  <si>
    <t>ТР155 Свечи бенгальские 170мм. (ТСЗ)  *1/200/(6) (уп.)</t>
  </si>
  <si>
    <t>ТСЗ</t>
  </si>
  <si>
    <t>СС1003 Свечи бенгальские "Горячие штучки" 210мм. 6/48/10 (шт.) АКЦИЯ!!!</t>
  </si>
  <si>
    <t>ТР157 Бенгальская свеча 170 мм. ЭКСТРА (ТСЗ) *1/200/(6) (уп.)</t>
  </si>
  <si>
    <t>ТР156 Свечи бенгальские 210 мм. (ТСЗ)  *1/200/(6) (уп.)</t>
  </si>
  <si>
    <t>Бенгальская свеча 160 мм "Новогодние" (УПЗ) (СБ160Н6) (6 шт. желтые) *1/280 (уп.)</t>
  </si>
  <si>
    <t>Бенгальская свеча 200 мм "Фестивальные" (СБ200Ф6) (УПЗ) (6 шт. желтые) *1/200 (уп.)</t>
  </si>
  <si>
    <t>ТР158 Бенгальская свеча 170 мм. Спектр (ТСЗ) *1/200/(6) (уп.)</t>
  </si>
  <si>
    <t>ТР165 Свеча бенгальская 160 мм (ТСЗ) *1/200/(6) (уп.)</t>
  </si>
  <si>
    <t>ТР170 Свеча бенгальская цветопламенная 160 (ТСЗ) *1/200/(6) (уп.)</t>
  </si>
  <si>
    <t>ТР159 Бенгальская свеча 210 мм. Экстра (ТСЗ) *1/200/(6) (уп.)</t>
  </si>
  <si>
    <t>0995 Tresk&amp;blesk Бенгальские огни 160 мм. *1/4/72/(6) (уп.)</t>
  </si>
  <si>
    <t>Бенгальская свеча 160 мм "Волшебные огни" (УПЗ) (СБ160ВО6) (6 шт. цветные) *1/280 (уп.)</t>
  </si>
  <si>
    <t>ТР166 Свеча бенгальская 200 мм (ТСЗ) *1/200/(6) (уп.)</t>
  </si>
  <si>
    <t>ТР160 Бенгальская свеча 210 мм. Спектр (ТСЗ) *1/200/(6) (уп.)</t>
  </si>
  <si>
    <t>Бенгальская свеча 200 мм "Карнавальная ночь" (СБ200КН6) (УПЗ) (6 шт. цветные) *1/200 (уп.)</t>
  </si>
  <si>
    <t>0996 Zolotoy moment Бенгальские огни 210мм *1/4/72/(6) (уп.)</t>
  </si>
  <si>
    <t>ТР161 Свеча бенгальская "Звездочка" (фигурная) (ТСЗ) *1/100/(2) (уп.)</t>
  </si>
  <si>
    <t>ТР162 Бенгальская свеча "Сердечко" (ТСЗ) *1/100/(2) (уп.)</t>
  </si>
  <si>
    <t>ТР163 Бенгальская свеча "Елочка" (ТСЗ) *1/100/(2) (уп.)</t>
  </si>
  <si>
    <t>0981 Бенгальские огни 700 мм. *1/10/10/3 (уп.)</t>
  </si>
  <si>
    <t>50 уп. (блок)</t>
  </si>
  <si>
    <t>СС1002 Свечи бенгальские 250мм. 5/20/(10) (шт.)</t>
  </si>
  <si>
    <t>20 уп. (блок)</t>
  </si>
  <si>
    <t>0920 Бенгальские огни 500 мм (6 шт. в уп.) *1/100/(6) (уп.)</t>
  </si>
  <si>
    <t>0997 Бенгальские огни 400мм. (5 шт. в уп.) *1/2/50/(5) (уп.)</t>
  </si>
  <si>
    <t>Бенгальская свеча 300 мм "Золото России" (УПЗ) (СБ300ЗР3) (3 шт. желтые) *1/45 (уп.)</t>
  </si>
  <si>
    <t>Бенгальская свеча 300 мм "Новогодние" (УПЗ) (СБ300Н3) (3 шт. желтые) *1/45 (уп.)</t>
  </si>
  <si>
    <t>ТР171 Свеча бенгальская 300 треугольная *1/44/(3) (уп.)</t>
  </si>
  <si>
    <t>Бенгальская свеча 300 мм "Белый снег" (УПЗ) (СБ300БС3) (3 шт. белые) *1/45 (уп.)</t>
  </si>
  <si>
    <t>Бенгальская свеча 300 мм "Уральские самоцветы" (УПЗ) (СБ300УС3) (3шт. желт, фиолет, зелен) *1/45 (уп.)</t>
  </si>
  <si>
    <t>Бенгальская свеча 300 мм "Светофор" (УПЗ) (СБ300С3) (3 шт. красная, желтая, зеленая) *1/45 (уп.)</t>
  </si>
  <si>
    <t>Бенгальская свеча 300 мм "Цветопламенные" (УПЗ) (СБ300Ц3) (3 шт. красная,желтая, зеленая) *1/45 (уп.) НАРОДНАЯ ЦЕНА!</t>
  </si>
  <si>
    <t>Бенгальская свеча 300 мм "Триколор" (УПЗ) (СБ300Т3) (3 шт. красная, голубая, белая) *1/45 (уп.)</t>
  </si>
  <si>
    <t>Бенгальская свеча 400 мм "Новогодние" (УПЗ) (СБ400Н3) (3 шт. желтые) *1/27 (уп.)</t>
  </si>
  <si>
    <t>ТР169 Свеча бенгальская 300 С Новым годом *1/50/(3) (уп.)</t>
  </si>
  <si>
    <t>ТР169 Свеча бенгальская 300 прямоугольная *1/50/(3) (уп.)  (Черные)</t>
  </si>
  <si>
    <t>Бенгальская свеча 300 мм "Новогодние" (УПЗ) (СБ300Н4) (4 шт. желтые) *1/36 (уп.)</t>
  </si>
  <si>
    <t>Бенгальская свеча 400 мм "Белый снег" (УПЗ) (СБ400БС3) (3 шт. белые) *1/27 (уп.)</t>
  </si>
  <si>
    <t>Бенгальская свеча 400 мм "Уральские самоцветы" (УПЗ) (СБ400УС3) ( 3шт. желт, фиолет, зелен) *1/27 (уп.)</t>
  </si>
  <si>
    <t>Бенгальская свеча 400 мм "Светофор" (УПЗ) (СБ400С3) (3 шт. красная, желтая, зеленая) *1/27 (уп.)</t>
  </si>
  <si>
    <t>Бенгальская свеча 400 мм "Цветопламенные" (УПЗ) (СБ400Ц3) (3 шт. красная,желтая,зеленая) *1/27 (уп.)</t>
  </si>
  <si>
    <t>Бенгальская свеча 400 мм "Триколор" (УПЗ) (СБ400Т3) (3 шт. красная, голубая, белая) *1/27 (уп.)</t>
  </si>
  <si>
    <t>Бенгальская свеча 300 мм "Цветопламенные" (УПЗ) (СБ300Ц4) (4 шт. крас, жел, зел, гол) *1/36 (уп.)</t>
  </si>
  <si>
    <t>ТР151 Свечи Бенгальские 400мм. "Веселый Праздник" (ТСЗ) *1/50/(3) (уп.)</t>
  </si>
  <si>
    <t>ТР151 Свечи Бенгальские С Новым Годом 400мм. (ТСЗ)  *1/50/(3) (уп.)</t>
  </si>
  <si>
    <t>Бенгальская свеча 400 мм "Новогодние" (УПЗ) (СБ400Н4) (4 шт. желтые) *1/18 (уп.)</t>
  </si>
  <si>
    <t>1</t>
  </si>
  <si>
    <t>ТР174 Бенгальская свеча 400 цветопламенная *1/50/3 (уп.)</t>
  </si>
  <si>
    <t>Бенгальская свеча 300 мм "Северное сияние" (УПЗ) (СБ300СС5) (5 шт. цветные) *1/36 (уп.)</t>
  </si>
  <si>
    <t>Бенгальская свеча 650 мм "Золото России" (УПЗ) (СБ650ЗР3) (3 шт. желтые) *1/27 (уп.)</t>
  </si>
  <si>
    <t>Бенгальская свеча 650 мм "Новогодние" (УПЗ) (СБ650Н3) (3 шт. желтые) *1/27 (уп.)</t>
  </si>
  <si>
    <t>Бенгальская свеча 650 мм "Уральские самоцветы" (3шт. желт.,фиол.,зелен..) (СБ650УС3) *1/27 (шт.)</t>
  </si>
  <si>
    <t>Бенгальская свеча 400 мм "Цветопламенные" (УПЗ) (СБ400Ц4) (4 шт. красн,желт,зелен,голуб.) *1/18 (уп.)</t>
  </si>
  <si>
    <t>ТР172 Свеча бенгальская 400 "Триколор" *1/50/(3) (уп.)</t>
  </si>
  <si>
    <t>Бенгальская свеча 650 мм "Светофор" (УПЗ) (СБ650С3) (3 шт. красная, желтая, зеленая) *1/27 (уп.)</t>
  </si>
  <si>
    <t>Бенгальская свеча 650 мм "Цветопламенные" (УПЗ) (СБ650Ц3) (3 шт. красн, желт, зелен) *1/27 (уп.)</t>
  </si>
  <si>
    <t>Бенгальская свеча 300 мм "Карнавальная ночь" (УПЗ) (СБ300КН6) (6 шт. цветные) *1/36 (уп.)</t>
  </si>
  <si>
    <t>Бенгальская свеча 650 мм "Триколор" (УПЗ) (СБ650Т3) (3 шт. красная, голубая, белая) *1/27 (уп.)</t>
  </si>
  <si>
    <t>ТР154 Свечи бенгальские 600мм. "Веселый Праздник" (ТСЗ)  *1/20/(3) (уп.)</t>
  </si>
  <si>
    <t>ТР154 Свечи бенгальские С Новым Годом 600мм. (ТСЗ)  *1/20/(3) (уп.)</t>
  </si>
  <si>
    <t>Бенгальская свеча 650 мм "Новогодние" (УПЗ) (СБ650Н4) (4 шт. желтые) *1/18 (уп.)</t>
  </si>
  <si>
    <t>Бенгальская свеча 400 мм "Северное сияние" (УПЗ) (СБ400СС5) (5 шт. цветные) *1/18 (уп.)</t>
  </si>
  <si>
    <t>Бенгальская свеча 650 мм "Цветопламенные" (УПЗ) (СБ650Ц4) (4 шт. красн,желт,зелен,голуб) *1/18 (уп.)</t>
  </si>
  <si>
    <t>Бенгальская свеча 400 мм "Карнавальная ночь" (УПЗ) (СБ400КН6) (6 шт. цветные) *1/18 (уп.)</t>
  </si>
  <si>
    <t>Бенгальская свеча 650 мм "Северное сияние" (УПЗ) (СБ650СС5) (5 шт. цветные) *1/18 (уп.)</t>
  </si>
  <si>
    <t>Бенгальская свеча 650 мм "Карнавальная ночь" (УПЗ) (СБ650КН6) (6 шт. цветные) *1/18 (уп.)</t>
  </si>
  <si>
    <t>02. Хлопушки</t>
  </si>
  <si>
    <t>Хлопушка 100 мм (конфетти) (УПЗ) (Х100К) *1/10/50 (шт.)</t>
  </si>
  <si>
    <t>шт.</t>
  </si>
  <si>
    <t>50 шт. (упаковка)</t>
  </si>
  <si>
    <t>Хлопушка 100 мм (конфетти, серпантин) (УПЗ) (Х100КСЕР) *1/10/50 (шт.)</t>
  </si>
  <si>
    <t>ТР106 Хлопушка "Супер" (ТСЗ) *1/150/3 (шт.) АКЦИЯ!!!</t>
  </si>
  <si>
    <t>3 шт. (упаковка)</t>
  </si>
  <si>
    <t>Хлопушка 100 мм (конфетти, сюрприз) (УПЗ) (Х100КСЮР) *1/10/50 (шт.)</t>
  </si>
  <si>
    <t>Хлопушка 140 мм (конфетти) (УПЗ) (Х140К) *1/10/35 (шт.)</t>
  </si>
  <si>
    <t>35 шт. (упаковка)</t>
  </si>
  <si>
    <t>Хлопушка 200 мм (конфетти) (УПЗ) (Х200К) *1/10/25 (шт.)</t>
  </si>
  <si>
    <t>25 шт. (упаковка)</t>
  </si>
  <si>
    <t>РС1807 Хлопушка с игрушкой *1/20/32 (шт.)</t>
  </si>
  <si>
    <t>Русская пиротехника</t>
  </si>
  <si>
    <t>32 шт. (упаковка)</t>
  </si>
  <si>
    <t>РС1805 Хлопушка С ЗОЛОТЫМ КОНФЕТТИ *1/20/32 (шт.)</t>
  </si>
  <si>
    <t>ТР108 Хлопушка "Супер с серпантином" (ТСЗ) *1/150/3 (шт.) АКЦИЯ!!!</t>
  </si>
  <si>
    <t>Хлопушка 200 мм (конфетти, сюрприз) (УПЗ) (Х200КСЮР) *1/10/25 (шт.)</t>
  </si>
  <si>
    <t>Хлопушка 200 мм (конфетти, серпантин) (УПЗ) (Х200КСЕР) *1/10/25 (шт.)</t>
  </si>
  <si>
    <t>ТР107 Хлопушка "Супер с сюрпризом" (ТСЗ)  *1/150/3 (шт.)</t>
  </si>
  <si>
    <t>ТР106 Хлопушка "Супер" (ТСЗ) *1/150/3 (шт.)</t>
  </si>
  <si>
    <t>ТР110 Хлопушка "Макси с серпантином" (ТСЗ) *1/116 (шт.)  АКЦИЯ!!!</t>
  </si>
  <si>
    <t>1 штука</t>
  </si>
  <si>
    <t>ТР102 Хлопушка "Супер" (ТСЗ) *1/200 (шт.)</t>
  </si>
  <si>
    <t>ТР104 Хлопушка "Макси" (ТСЗ) *1/116 (шт</t>
  </si>
  <si>
    <t>Хлопушка 200 мм (серпантин, стример) (УПЗ) (Х200СЕРСТР) *1/10/25 (шт.)</t>
  </si>
  <si>
    <t>ТР114 Хлопушка" Супер Гранд с серпантином" (ТСЗ)  *1/308 (шт.)</t>
  </si>
  <si>
    <t>ТР108 Хлопушка "Супер с серпантином" (ТСЗ) *1/150/3 (шт.)</t>
  </si>
  <si>
    <t>ТР110 Хлопушка "Макси с серпантином" (ТСЗ) *1/116 (шт.)</t>
  </si>
  <si>
    <t>ТР109 Хлопушка "Макси с сюрпризом" (маска) (ТСЗ) 1/116 (шт.)</t>
  </si>
  <si>
    <t>ТР115 Хлопушка "Макси- Гигант с серпантином" (ТСЗ) *1/120 (шт.)</t>
  </si>
  <si>
    <t>04. Фонтаны (Россия)</t>
  </si>
  <si>
    <t>ТР203 Фонтан Н-3 "Радужное пламя" *1/40/4 (шт.)</t>
  </si>
  <si>
    <t>4 шт. (упаковка)</t>
  </si>
  <si>
    <t>ТР206 Фонтан Золотые искры *1/40/4 (шт.)</t>
  </si>
  <si>
    <t>Фонтан "Форсаж" (УПЗ) *1/25 (шт.)</t>
  </si>
  <si>
    <t>Фонтан "Малахит" (УПЗ) *1/25 (шт.)</t>
  </si>
  <si>
    <t>Фонтан "Микс" (УПЗ) *1/25 (шт.)</t>
  </si>
  <si>
    <t>Фонтан "Рубин" (УПЗ) *1/25 (шт.)</t>
  </si>
  <si>
    <t>Фонтан "Весёлый" (УПЗ) *1/25 (шт.)</t>
  </si>
  <si>
    <t>05. Сигнал охотника</t>
  </si>
  <si>
    <t>Пусковое устройство к сигналу охотника пластик одинарное</t>
  </si>
  <si>
    <t>СИГНАЛ</t>
  </si>
  <si>
    <t>Набор СТОП-ЗВЕРЬ ЗВУКОВОЙ (синий)</t>
  </si>
  <si>
    <t>Сигнал охотника без ПУ №3 (шт.) ПЛАСТИК 1/100/15 (шт.)</t>
  </si>
  <si>
    <t>08. Наборы (Россия)</t>
  </si>
  <si>
    <t>РС0040 Набор серпантина "Невеста" *1/20/9/1 (шт.)</t>
  </si>
  <si>
    <t>9 шт. (упаковка)</t>
  </si>
  <si>
    <t>РС0060 Конфетти (крупный) "Свадьба" *1/100 (шт.)</t>
  </si>
  <si>
    <t>РС0050 Набор серпантина "Свадьба" *1/20/9/1 (шт.)</t>
  </si>
  <si>
    <t>ТР112 Набор "Веселая тусовка"  (серпантин,сюрприз) 1/90/3 (шт.) АКЦИЯ!!!</t>
  </si>
  <si>
    <t>Набор хлопушек- 2 (100 мм.) "Времена года" (4шт. 2 конф. + 2 серп.) (УПЗ) (НХ100ВГ4) *1/124 (шт.)</t>
  </si>
  <si>
    <t>Набор хлопушек- 2 (100 мм.) "Четыре стихии" (4шт.2конфетти+2серпантин) (УПЗ) (НХ100ЧС4) *1/124 (шт.)</t>
  </si>
  <si>
    <t>Набор хлопушек- 2 (100 мм.) "Новогодний калейдоскоп"  (5шт. с конфетти) (УПЗ) (НХ100НК5) *1/100 (шт.)</t>
  </si>
  <si>
    <t>Набор хлопушек- 2 (100 мм.) "Зоопарк" (6шт. с конфетти) (УПЗ) (НХ100З6) *1/6/84 (шт.)</t>
  </si>
  <si>
    <t>Набор хлопушек- 2 (100 мм.) "Радуга" (6шт. с конфетти) (УПЗ) (НХ100Р6) *1/84 (шт.)</t>
  </si>
  <si>
    <t>Набор хлопушек- 2 (100 мм.)  (6шт. 3 конфетти + 3 серпантин) (УПЗ) (НХ100СЕР3К3) *1/84 (шт.)</t>
  </si>
  <si>
    <t>1. Петарды</t>
  </si>
  <si>
    <t>2</t>
  </si>
  <si>
    <t>K0201 Korsar (1 корсар) *1/24/10/60 (шт.) НАРОДНАЯ ЦЕНА!</t>
  </si>
  <si>
    <t>600 шт. (блок)</t>
  </si>
  <si>
    <t>Корсар 1 (K 0201-60) *1/24/10/60 (шт.) НАРОДНАЯ ЦЕНА!</t>
  </si>
  <si>
    <t>СЛК</t>
  </si>
  <si>
    <t>P1004 Strzelajace Diabelki ( Поп корн ) *1/6/50/50 (шт.)</t>
  </si>
  <si>
    <t>2500 шт. (блок)</t>
  </si>
  <si>
    <t>Корсар 1 (СС1210) *1/20/12/60 (шт.)</t>
  </si>
  <si>
    <t>720 шт. (блок)</t>
  </si>
  <si>
    <t>Корсар 1 (Р1106) *1/20/12/60 (шт)</t>
  </si>
  <si>
    <t>Русский фейерверк</t>
  </si>
  <si>
    <t>Команда корсара Моргана 1 (РС0121) *1/20/12/60 (шт.)</t>
  </si>
  <si>
    <t>K0202 Monster (2 корсар) *1/50/10/20 (шт.) НАРОДНАЯ ЦЕНА!</t>
  </si>
  <si>
    <t>200 шт. (блок)</t>
  </si>
  <si>
    <t>Корсар 2 (K 0202) *1/50/10/20 (шт.) НАРОДНАЯ ЦЕНА!</t>
  </si>
  <si>
    <t>P1004L Big Snaper (Поп корн Большой) *1/4/20/50 (шт.)</t>
  </si>
  <si>
    <t>Команда корсара Моргана 2 (РС0222) *1/36/10/20  (шт.)</t>
  </si>
  <si>
    <t>K0203 Little Pirat (3 корсар) *1/100/50 (шт.) НАРОДНАЯ ЦЕНА!</t>
  </si>
  <si>
    <t>Корсар 3 "Дуплет" (K 0203 A) *1/25/10/20 (шт.)</t>
  </si>
  <si>
    <t>K0203-2 Little Pirat (3 корсар, 2 выстрела) *1/100/50 (шт.)</t>
  </si>
  <si>
    <t>Корсар 2 (Р1202) *25/15/20 (шт)</t>
  </si>
  <si>
    <t>300 шт. (блок)</t>
  </si>
  <si>
    <t>Корсар 2 (СС1410) *1/25/12/20 (шт.)</t>
  </si>
  <si>
    <t>240 шт. (блок)</t>
  </si>
  <si>
    <t>Корсар 3 "Тройной удар" (K 0203 B) *1/25/10/20 (шт.)</t>
  </si>
  <si>
    <t>K0203-3 Petardy (3 корсар, 3 выстрела) *1/100/50 (шт.)</t>
  </si>
  <si>
    <t>Бам-бух (Корсар №3 два баха)  (Р1320) *1/52/20/6 (шт.)</t>
  </si>
  <si>
    <t>120 шт. (блок)</t>
  </si>
  <si>
    <t>Команда Корсара Моргана-3 (РС0323) * 1/50/10/10 (шт)</t>
  </si>
  <si>
    <t>100 шт. (блок)</t>
  </si>
  <si>
    <t>Корсар 3 (СС1510) *25/10/20 (шт.)</t>
  </si>
  <si>
    <t>Корсар 3 (Р1301) *1/50/10/10 (шт)</t>
  </si>
  <si>
    <t>GB605 Crackling Ball *1/16/12/6 (шт.)</t>
  </si>
  <si>
    <t>72 шт. (блок)</t>
  </si>
  <si>
    <t>Цикада (СС1640) *1/24/24/6 (шт.)</t>
  </si>
  <si>
    <t>144 шт. (блок)</t>
  </si>
  <si>
    <t>K0204 Pirate 1 (4 корсар 1 громкий хлопок) *1/8/24/12 (шт.) НАРОДНАЯ ЦЕНА!</t>
  </si>
  <si>
    <t>288 шт. (блок)</t>
  </si>
  <si>
    <t>Синяя Борода (СС1644) *1/16/12/12 (шт.)</t>
  </si>
  <si>
    <t>Р1000 (СС1050) *1/120/12 (шт.)</t>
  </si>
  <si>
    <t>12 шт. (упаковка)</t>
  </si>
  <si>
    <t>Корсар 4 A Боливар (K 0204A) *1/16/12/12 (шт.)</t>
  </si>
  <si>
    <t>Корсар 4 (K 0204) *1/16/12/12 (шт.) НАРОДНАЯ ЦЕНА!</t>
  </si>
  <si>
    <t>Корсар 4 S Командор (K 0204S) *1/16/12/12 (шт.)</t>
  </si>
  <si>
    <t>P500 Petards *1/60/24 (шт.)</t>
  </si>
  <si>
    <t>24 шт. (упаковка)</t>
  </si>
  <si>
    <t>Супер Треуголка (СС1111) *1/100/20 (шт.)</t>
  </si>
  <si>
    <t>20 шт. (упаковка)</t>
  </si>
  <si>
    <t>Корсар 4 (СС1610) *1/16/12/12 (шт.)</t>
  </si>
  <si>
    <t>Корсар 4 (Р1400) *16/12/12 (шт)</t>
  </si>
  <si>
    <t>P750 Mega Piratka *1/100/20 (шт.)</t>
  </si>
  <si>
    <t>Команда корсара Моргана-5ф (РС0525) * 1/120/12 (шт.)</t>
  </si>
  <si>
    <t>Хлопающие шары (Р1030) *1/16/12/6 (шт.)</t>
  </si>
  <si>
    <t>Вспыш (стробы+бах) (Р1032) *1/18/18/6 (шт.)</t>
  </si>
  <si>
    <t>108 шт. (блок)</t>
  </si>
  <si>
    <t>Флеш (стробы+бах) (СС1642) *1/18/10/6 (шт.)</t>
  </si>
  <si>
    <t>60 шт. (блок)</t>
  </si>
  <si>
    <t>Команда корсара Моргана-6ф (РС0625) *1/60/12 (шт.)</t>
  </si>
  <si>
    <t>Соловей разбойник (СС1872) *1/60/12 (шт.)</t>
  </si>
  <si>
    <t>Корсар 6 (Р1601) *1/100/6 (шт.)</t>
  </si>
  <si>
    <t>6 шт. (упаковка)</t>
  </si>
  <si>
    <t>Туши свет (Р1042) *1/100/6 (уп.)</t>
  </si>
  <si>
    <t>П3010 Zаряд 10 *1/72/4 (шт.)</t>
  </si>
  <si>
    <t>Русская петарда</t>
  </si>
  <si>
    <t>П3012 Zаряд 12 *1/72/4 (шт.)</t>
  </si>
  <si>
    <t>2. Ракеты</t>
  </si>
  <si>
    <t>Техас (РС2205) *1/25/12/12 (шт.)</t>
  </si>
  <si>
    <t>Пугач (Р2010) *25/12/12 (шт.)</t>
  </si>
  <si>
    <t>GWR6101 Sky Rockets (набор) *1/54/12 (шт.)</t>
  </si>
  <si>
    <t>Ассорти (0,6"х 6) (РС2210) * 1/72/6 (шт)</t>
  </si>
  <si>
    <t>Валим! (СС2101) *1/72/6 (шт.)</t>
  </si>
  <si>
    <t>GWR6106 Sky Rockets (набор) *1/36/12 (шт.)</t>
  </si>
  <si>
    <t>Ариэль (РС2220) *1/72/6 (шт.)</t>
  </si>
  <si>
    <t>Ассорти (Р2300) *1/72/6 (шт.)</t>
  </si>
  <si>
    <t>Русская ракета (СС2500) *1/24/6 (шт.)</t>
  </si>
  <si>
    <t>Персей (РС2238) *1/36/4 (шт.)</t>
  </si>
  <si>
    <t>Буран (СС2600) *1/40/3 (шт.)</t>
  </si>
  <si>
    <t>Ангара (Р2450) *1/24/4 (шт.)</t>
  </si>
  <si>
    <t>Аргонавты (1,85" х4) (РС2245) * 1/18/4 (шт)</t>
  </si>
  <si>
    <t>Энергия (СС2700) *1/40/3 (шт)</t>
  </si>
  <si>
    <t>Tristar (Р2464) *1/32/3 (шт.)</t>
  </si>
  <si>
    <t>Пошла, родимая! (СС2701) *1/25/4 (шт.)</t>
  </si>
  <si>
    <t>Союз Апполон (R 002) *1/20/5 (шт.)</t>
  </si>
  <si>
    <t>5 шт. (упаковка)</t>
  </si>
  <si>
    <t>Буратино (СС2702) *1/32/4 (шт.)</t>
  </si>
  <si>
    <t>Улетная ракета (СС2704) *1/16/3 (шт.)</t>
  </si>
  <si>
    <t>ART211 Super Stars (набор) *1/30 (уп.)</t>
  </si>
  <si>
    <t>Космическое путешествие (R 004) *1/10/3 (шт.)</t>
  </si>
  <si>
    <t>Полёт к САТУРНУ (R 005) *1/10/3 (шт.)</t>
  </si>
  <si>
    <t>GWR6117 Uranus (набор) *1/24 (уп.)</t>
  </si>
  <si>
    <t>GWR858A Space Cowboys (7шт. в уп. + пиромелочь) *1/20 (уп.)</t>
  </si>
  <si>
    <t>GWRXL Ракеты (набор) *1/24 (уп.)</t>
  </si>
  <si>
    <t>Звездная миссия (R 006) * 1/8/3 (шт.)</t>
  </si>
  <si>
    <t>GWRXXL Ракеты (набор) *1/12 (уп.)</t>
  </si>
  <si>
    <t>3. Летающие, наземные фейерверки и вертушки</t>
  </si>
  <si>
    <t>Вжик, цветные искры (Р3512) *1/20/12/12 (шт.)</t>
  </si>
  <si>
    <t>GW0901D  Round Bloom Flower  (наземный волчок) *14/10/10 (шт.)</t>
  </si>
  <si>
    <t>Бабочка (СС3110) *1/240/12 (шт.)</t>
  </si>
  <si>
    <t>Жук (T 0901) *1/20/12/6 (шт.)</t>
  </si>
  <si>
    <t>Дикие пчелы (РС1400) *1/24/10/12 (шт.)</t>
  </si>
  <si>
    <t>Супер Жук (T 0902) (без хлопка, с треском) *1/20/12/6 (шт.)</t>
  </si>
  <si>
    <t>Жук (РС1360) *1/20/12/6 (шт.)</t>
  </si>
  <si>
    <t>Крэйзи пчелы (СС3112) *1/100/12 (шт.)</t>
  </si>
  <si>
    <t>Светлячок (РС1375) *1/100/10 (шт.)</t>
  </si>
  <si>
    <t>10 шт. (упаковка)</t>
  </si>
  <si>
    <t>Улетный жук (РС1362) *1/20/12/6 (шт.)</t>
  </si>
  <si>
    <t>Мега Вжик (СС3530) *1/20/12/6 (шт.)</t>
  </si>
  <si>
    <t>СуперЖук (СС3532) *1/20/12/6 (шт.)</t>
  </si>
  <si>
    <t>Веселый жук (Р3520) *20/12/6 (шт.)</t>
  </si>
  <si>
    <t>Мотылек (Р3020) *16/10/12 (шт.)</t>
  </si>
  <si>
    <t>Мега-жук (Р3530) *20/12/6 (шт.)</t>
  </si>
  <si>
    <t>Волшебный мотылек (РС1420) *1/60/12 (шт.)</t>
  </si>
  <si>
    <t>Астронавт (W 502) *1/60/12 (шт.)</t>
  </si>
  <si>
    <t>Стелс (W 503) *1/60/12 (шт.)</t>
  </si>
  <si>
    <t>Махаон (СС3115) *1/120/6 (шт.)</t>
  </si>
  <si>
    <t>Юпитер (W 509) *1/60/12 (шт.)</t>
  </si>
  <si>
    <t>Лунный цветок NEW (Р3110) *1/120/6 (шт.)</t>
  </si>
  <si>
    <t>Страйк (Р3540) *1/72/4 (шт.)</t>
  </si>
  <si>
    <t>MF-0290 Стробоскоп 90 сек. *1/72/3 (шт.)</t>
  </si>
  <si>
    <t>W504A/B Helicopter *1/36/6 (шт.)</t>
  </si>
  <si>
    <t>Метеорит (W 504) *1/36/6 (шт.)</t>
  </si>
  <si>
    <t>W505A/B Space Flight *1/72/2 (шт.)</t>
  </si>
  <si>
    <t>2 шт. (упаковка)</t>
  </si>
  <si>
    <t>Летающий цветок (W 506) *1/40/6 (шт.)</t>
  </si>
  <si>
    <t>Скарабей (T 0907) *1/96/4 (шт.)</t>
  </si>
  <si>
    <t>Бабочка (W 505) 1/36/6 (шт.)</t>
  </si>
  <si>
    <t>Вертушка Герань (РС1445) *1/36/6 (шт.)</t>
  </si>
  <si>
    <t>Майский жук (РС1440) *1/36/6 (шт.)</t>
  </si>
  <si>
    <t>Торнадо (W 507) *1/36/6 (шт.)</t>
  </si>
  <si>
    <t>Солнечный цветок (Р3100) *1/36/6 (шт.)</t>
  </si>
  <si>
    <t>Вертушка Ланцет (РС1447) *1/36/4 (шт.)</t>
  </si>
  <si>
    <t>Стрекоза (СС3134) *1/48/4 (шт.)</t>
  </si>
  <si>
    <t>Космическая трилогия (СС3132) *1/40/3 (шт.)</t>
  </si>
  <si>
    <t>Стрекоза (РС1450) *1/48/2 (шт.)</t>
  </si>
  <si>
    <t>Торнадо (РС1370) *1/60 (шт.)</t>
  </si>
  <si>
    <t>Торнадо (СС3534) *1/60 (шт.)</t>
  </si>
  <si>
    <t>4. Фонтаны</t>
  </si>
  <si>
    <t>MF-008 Ice Fountan Настольный фонтан 10 см. *1/4/30/4 (шт.)</t>
  </si>
  <si>
    <t>MF-003 Cakes fountan Настольный фонтан 10 см. *1/4/45/4 (шт.)</t>
  </si>
  <si>
    <t>MF-004 Ice Fountan Настольный фонтан 10 см. *1/4/45/4 (шт.)</t>
  </si>
  <si>
    <t>MF-001 Fontanna Tortowa Настольный фонтан 12 см. *1/4/45/4 (шт.)</t>
  </si>
  <si>
    <t>MF-005 Happy Birthday Настольный фонтан 10см. *1/4/45/2 (шт.)</t>
  </si>
  <si>
    <t>MF-002 Fontanna Tortowa Настольный фонтан 15 см. *1/4/35/4 (шт.)</t>
  </si>
  <si>
    <t>MF-010 Cakes Fountain Настольный фонтан 23 см. *1/4/30/3 (шт.)</t>
  </si>
  <si>
    <t>Лучик (НФ4026) *1/36/4 (шт.)</t>
  </si>
  <si>
    <t>Народный фейерверк</t>
  </si>
  <si>
    <t>Золотые искры (НФ4020) *1/18/4 (шт.)</t>
  </si>
  <si>
    <t>Ёжик (Р4042) *1/24/6 (шт.)</t>
  </si>
  <si>
    <t>Крутыш! (СС4052) *1/36/4 (шт.)</t>
  </si>
  <si>
    <t>Павлин (Р4205) *1/30/12 (шт.)</t>
  </si>
  <si>
    <t>Сверкающий (СС4054) *1/36/4 (шт.)</t>
  </si>
  <si>
    <t>Театр кукол (Р4210) *1/36/4 (шт.)</t>
  </si>
  <si>
    <t>Иван-царевич (РС4070) *1/48 (шт.)</t>
  </si>
  <si>
    <t>Чародей (Р4213) *1/72 (шт.)</t>
  </si>
  <si>
    <t>Бодрячок (Р4222) * 1/72 (шт.)</t>
  </si>
  <si>
    <t>Казачок (Р4224) *1/48 (шт.)</t>
  </si>
  <si>
    <t>Укрощение огня (F 0403) *1/18/4 (шт.)</t>
  </si>
  <si>
    <t>Фонтан Султан (СС4843) *1/24/6 (шт.)</t>
  </si>
  <si>
    <t>Рог изобилия (СС4839) *1/36/4 (шт.)</t>
  </si>
  <si>
    <t>Поп корн (ЕС105) *1/18/4 (шт.)</t>
  </si>
  <si>
    <t>Фейерлэнд</t>
  </si>
  <si>
    <t>Озорник (НФ4032) *1/48 (шт.)</t>
  </si>
  <si>
    <t>Искры хризантем (F 0419) *1/80 (шт.)</t>
  </si>
  <si>
    <t>С Днем рождения! (F 0422) *1/96 (шт.)</t>
  </si>
  <si>
    <t>Мальчик или Девочка (РС4085) *1/72 (шт.)</t>
  </si>
  <si>
    <t>Чудо (Р4050) *1/18/6 (шт.)</t>
  </si>
  <si>
    <t>Анютины глазки (РС4080) *1/72 (шт.)</t>
  </si>
  <si>
    <t>Вася-василек (РС4081) *1/72 (шт.)</t>
  </si>
  <si>
    <t>С Рождеством! (F 0421) *1/96 (шт.)</t>
  </si>
  <si>
    <t>Дракоша (НФ4042) *1/12/4 (шт.)</t>
  </si>
  <si>
    <t>MF00-202 Vibes Foutntain *1/36 (шт.)</t>
  </si>
  <si>
    <t>Сверчок (Р4220) *1/48 (шт.)</t>
  </si>
  <si>
    <t>Холодный огонь (Р4814) (сценический фонтан 3м 30 сек) *1/80/1 (шт.)</t>
  </si>
  <si>
    <t>Живчик (Р4068) *1/12/4 (шт.)</t>
  </si>
  <si>
    <t>Свадебный (СС4405) *1/24/4 (шт.)</t>
  </si>
  <si>
    <t>Праздничный (РС4088) *1/16 (шт.)</t>
  </si>
  <si>
    <t>Лапки (Р4064) *1/20/4 (шт.)</t>
  </si>
  <si>
    <t>Привет, лунатики! (РС4100) *1/48 (шт.)</t>
  </si>
  <si>
    <t>Меч-кладенец (РС4018) *1/60 (шт.)</t>
  </si>
  <si>
    <t>Килиманджаро (F 0404) *1/9/4 (шт.)</t>
  </si>
  <si>
    <t>Пин-кот (Р4090) *1/6/4 (шт.)</t>
  </si>
  <si>
    <t>Привет от аиста (девочка) (Р4219) *1/48 (шт.)</t>
  </si>
  <si>
    <t>Привет от аиста (мальчик) (Р4218) *1/48 (шт.)</t>
  </si>
  <si>
    <t>Калаш (РС4010) *1/40 (шт.)</t>
  </si>
  <si>
    <t>Фонтан Титан (СС4844) *1/48/1 (шт.)</t>
  </si>
  <si>
    <t>Везувий (F 0414) *1/40 (шт.)</t>
  </si>
  <si>
    <t>Звездная пыль (Р4066) *1/12/4 (шт.)</t>
  </si>
  <si>
    <t>Букет Фиалок (РС4110) *1/40 (шт.)</t>
  </si>
  <si>
    <t>Smile (РС4340) *1/20 (шт.) АКЦИЯ!!!</t>
  </si>
  <si>
    <t>Лапа Йети (РС4030) *1/10/2 (шт.) АКЦИЯ!!!</t>
  </si>
  <si>
    <t>Чудо-Юдо (РС4310) *1/48 (шт.)</t>
  </si>
  <si>
    <t>Новогодний джинн (СС4120) *1/12/4 (шт.)</t>
  </si>
  <si>
    <t>Акапулько (РС4105) *1/24 (шт.)</t>
  </si>
  <si>
    <t>Ураган (F 0405) *1/12/4 (шт.)</t>
  </si>
  <si>
    <t>СолнцеДар (СС4840) *1/36 (шт.)</t>
  </si>
  <si>
    <t>Чудесный (НФ4034) *1/8/4 (шт.)</t>
  </si>
  <si>
    <t>Василек (НФ4028) *1/18 (шт.)</t>
  </si>
  <si>
    <t>Бурный Везувий (РС4161) *1/10/4 (шт.)</t>
  </si>
  <si>
    <t>Апельсиновый фрэш (РС4570) *1/36 (шт.)</t>
  </si>
  <si>
    <t>Шахерезада (Р4320) *1/24 (шт.)</t>
  </si>
  <si>
    <t>MF00-300 Super Star *1/24 (шт.)</t>
  </si>
  <si>
    <t>Новогодний (F 0423) *1/24 (шт.)</t>
  </si>
  <si>
    <t>Стрелы Купидона (РС4375) *1/20 (шт.)</t>
  </si>
  <si>
    <t>Тиара (Р4644) *1/24 (шт.)</t>
  </si>
  <si>
    <t>Сиреневая симфония (F 0407) *1/10/2 (шт.)</t>
  </si>
  <si>
    <t>Какаду (Р4101) *1/12/2 (шт.)</t>
  </si>
  <si>
    <t>Мороз-party (Р4116)  *1/9/2 (шт.)</t>
  </si>
  <si>
    <t>Золотой вулкан (Р4110) *1/10/2 (шт.)</t>
  </si>
  <si>
    <t>Снежный вулкан (Р4112) *1/10/2 (шт.)</t>
  </si>
  <si>
    <t>Чин-чин (Р4100) *1/12/2 (шт.)</t>
  </si>
  <si>
    <t>Тумба-юмба (РС4530) *1/12 (шт.)</t>
  </si>
  <si>
    <t>Золотой скарабей (Р4512) *1/12 (шт.)</t>
  </si>
  <si>
    <t>Брют (Р4121) *1/4/3 (шт.)</t>
  </si>
  <si>
    <t>Морозные искры (СС4132) *1/16 (шт.)</t>
  </si>
  <si>
    <t>Тот еще фрукт (РС4540) *1/18 (шт.)</t>
  </si>
  <si>
    <t>Сочный цитрус (РС4580) *1/20 (шт.)</t>
  </si>
  <si>
    <t>Рубиновая звезда (РС4360) *1/12 (шт.)</t>
  </si>
  <si>
    <t>Рио (Р4510) *1/12 (шт.)</t>
  </si>
  <si>
    <t>Бегемот (Р4670) *1/12 (шт.)</t>
  </si>
  <si>
    <t>Снежный человек (РС4350) *1/8 (шт.)</t>
  </si>
  <si>
    <t>Чумовой Кракатау (РС4163) *1/6/2 (шт.)</t>
  </si>
  <si>
    <t>Шапка Мономаха (РС4560) *1/8 (шт.)</t>
  </si>
  <si>
    <t>Вулкан страстей (СС4058) *1/6 (шт.)</t>
  </si>
  <si>
    <t>5. Римские свечи</t>
  </si>
  <si>
    <t xml:space="preserve">     Калибр 0,3"</t>
  </si>
  <si>
    <t>Чародейка (0,3"х30) (СС5006) *1/36/12 (шт.)</t>
  </si>
  <si>
    <t>0,3"х30</t>
  </si>
  <si>
    <t>ЗРК Куб (0,3"х123) (РС5870) *1/9 (шт.)</t>
  </si>
  <si>
    <t>0,3"х123</t>
  </si>
  <si>
    <t>РПГ Муха (0,3"х140) (РС5810) *1/24 (шт.)</t>
  </si>
  <si>
    <t>0,3"х140</t>
  </si>
  <si>
    <t>Бравые ребята (0,3"х216) (Р5930) *1/24 (шт.)</t>
  </si>
  <si>
    <t>0,3"х216</t>
  </si>
  <si>
    <t>SF-2019 Gatling Римская свеча (0,3"х360) *1/12 (шт.)</t>
  </si>
  <si>
    <t>0,3"х360</t>
  </si>
  <si>
    <t>Гатлинг (0,3"х660) (РС5830) *1/9 (шт.) АКЦИЯ!!!</t>
  </si>
  <si>
    <t>0,3"х660</t>
  </si>
  <si>
    <t>Mega blaster (0,3"х660) (RC 023 A) *1/12 (шт.) НАРОДНАЯ ЦЕНА!</t>
  </si>
  <si>
    <t>Терминатор (0,3"х666) (СС5802) *1/12 (шт.)</t>
  </si>
  <si>
    <t>0,3"х666</t>
  </si>
  <si>
    <t xml:space="preserve">     Калибр 0,4"</t>
  </si>
  <si>
    <t>Магические огни (0,4"х30) (РС5003) *1/36/12 (шт.)</t>
  </si>
  <si>
    <t>0,4"х30</t>
  </si>
  <si>
    <t>АНТИстресс (0,4"х140) (СС5020) *1/24 (шт.)</t>
  </si>
  <si>
    <t>0,4"х140</t>
  </si>
  <si>
    <t xml:space="preserve">     Калибр 0,5"</t>
  </si>
  <si>
    <t>Сакура-10 (0,5"х10) (Р5310) *1/36/4 (шт.)</t>
  </si>
  <si>
    <t>0,5"х10</t>
  </si>
  <si>
    <t>SF-393 Roman Candle (0,5"х10) *1/30/4 (шт.)</t>
  </si>
  <si>
    <t xml:space="preserve">     Калибр 0,6"</t>
  </si>
  <si>
    <t>Звездопад (0,6"х7) (РС5030) *1/42/4 (шт.)</t>
  </si>
  <si>
    <t>0,6"х7</t>
  </si>
  <si>
    <t>Вьюга-8 (0,6"х8) (Р5300) *1/36/4 (шт.)</t>
  </si>
  <si>
    <t>0,6"х8</t>
  </si>
  <si>
    <t>SF-395 Color Shots (0,6"х8) *1/36/4 (шт.)</t>
  </si>
  <si>
    <t>Снежинки-8 (0,6"х8) (РС5010) *1/42/4 (шт.)</t>
  </si>
  <si>
    <t>Смайлики-8 (0,6"х8) (РС5020) *1/42/4 (шт.)</t>
  </si>
  <si>
    <t>Котофей (0,6"х8) (НФ5006) *1/36/4 (шт.)</t>
  </si>
  <si>
    <t>Волшебная палочка (0,6"х8) (БС502) *1/36/4 (шт.)</t>
  </si>
  <si>
    <t>Байкал Салют</t>
  </si>
  <si>
    <t>Егоза-10  (0,6"х10)  (Р5320) *1/36/4 (шт.)</t>
  </si>
  <si>
    <t>0,6"х10</t>
  </si>
  <si>
    <t>MR001-20 Magic Ball (0,6"х20) *1/36/2 (шт.)</t>
  </si>
  <si>
    <t>0,6"х20</t>
  </si>
  <si>
    <t>РПО Шмель (0,6"х320) (РС5820) *1/12 (шт.) АКЦИЯ!!!</t>
  </si>
  <si>
    <t>0,6"х320</t>
  </si>
  <si>
    <t xml:space="preserve">     Калибр 0,7"</t>
  </si>
  <si>
    <t>Зевс (0,75"х5) (RC 020) *1/24/4 (шт.)</t>
  </si>
  <si>
    <t>0,7"х5</t>
  </si>
  <si>
    <t>Арктур (0,75"х6) (RC 019) *1/24/4 (шт.)</t>
  </si>
  <si>
    <t>0,7"х6</t>
  </si>
  <si>
    <t xml:space="preserve">     Калибр 0,8"</t>
  </si>
  <si>
    <t>Неоновый свет-5 (0,8"х5) (НФ5010) *1/24/4 (шт.) НАРОДНАЯ ЦЕНА!</t>
  </si>
  <si>
    <t>0,8"х5</t>
  </si>
  <si>
    <t>SF-390 Roman Candle (0,8"х5) *1/48/2 (шт.) НАРОДНАЯ ЦЕНА!</t>
  </si>
  <si>
    <t>Галактика-5 (НФ) (0,8"х5) (НФ5012) *1/24/4 (шт.) НАРОДНАЯ ЦЕНА!</t>
  </si>
  <si>
    <t>Шторм-5 (0,8"х5) (НФ5014) *1/24/4 (шт.) НАРОДНАЯ ЦЕНА!</t>
  </si>
  <si>
    <t>Леденец (0,8"х5) (БС508) *1/24/4 (шт.) НАРОДНАЯ ЦЕНА!</t>
  </si>
  <si>
    <t>Пятачок (0,8"х5) (БС507) *1/24/4 (шт.) НАРОДНАЯ ЦЕНА!</t>
  </si>
  <si>
    <t>Сказочный мир-5 (0,8"x5) (СС5206) *1/24/4 (шт.)</t>
  </si>
  <si>
    <t>Бабахыч (0,8"х 5) (Р5518) * 1/20/4 (шт.)</t>
  </si>
  <si>
    <t>Барракуда-5  (0,8"х 5) (спец. эфф.) (Р5516) *1/20/4 (шт.)</t>
  </si>
  <si>
    <t>Пантера-5  (0,8"х 5) (Р5510) *1/20/4 (шт.)</t>
  </si>
  <si>
    <t>Гепард-5  (0,8"х 5) (Р5512) *1/20/4 (шт.)</t>
  </si>
  <si>
    <t>Мираж-5 (0,8"х 5) (СС5204) *1/24/4 (шт.)</t>
  </si>
  <si>
    <t>Текила-5  (0,8"х 5) (СС5202) *1/24/4 (шт.)</t>
  </si>
  <si>
    <t>Экзотика-5 (0,8"х 5) (СС5200) *1/24/4 (шт.)</t>
  </si>
  <si>
    <t>Пиранья (0,8"х5) (Р5520) * 1/20/4 (шт.)</t>
  </si>
  <si>
    <t>До первой звезды (0,8"х6) (RC 008) *1/18/4 (шт.) НАРОДНАЯ ЦЕНА!</t>
  </si>
  <si>
    <t>0,8"х6</t>
  </si>
  <si>
    <t>Разноцветные пионы (0,8"х6) (RC 001) *1/18/4 (шт.) НАРОДНАЯ ЦЕНА!</t>
  </si>
  <si>
    <t>Гром и молния-8 (0,8"х8) (НФ5020) *1/24/4 (шт.) НАРОДНАЯ ЦЕНА!</t>
  </si>
  <si>
    <t>0,8"х8</t>
  </si>
  <si>
    <t>Залпы радости-8 (0,8"х 8) (НФ5026) *1/24/4 (шт.) НАРОДНАЯ ЦЕНА!</t>
  </si>
  <si>
    <t>Калейдоскоп-8 (0,8"х8) (НФ5024) *1/24/4 (шт.) НАРОДНАЯ ЦЕНА!</t>
  </si>
  <si>
    <t>Пульсар-8 (0,8"х8) (НФ5022) *1/24/4 (шт.) НАРОДНАЯ ЦЕНА!</t>
  </si>
  <si>
    <t>GWL-0001 Roman Candle (0,8"х8) *1/48/2 (шт.) НАРОДНАЯ ЦЕНА!</t>
  </si>
  <si>
    <t>Бабаха (0,8"х8) (БС510) *1/24/4 (шт.) НАРОДНАЯ ЦЕНА!</t>
  </si>
  <si>
    <t>Березка (0,8"х8) (БС511) *1/24/4 (шт.) НАРОДНАЯ ЦЕНА!</t>
  </si>
  <si>
    <t>Лупемет (0,8"х8) (БС509) *1/24/4 (шт.) НАРОДНАЯ ЦЕНА!</t>
  </si>
  <si>
    <t>GWL-0010 Roman Candle (0,8"х8) *1/24/4 (шт.)</t>
  </si>
  <si>
    <t>Цветные разрывы (0,8"х8) (RC 002) *1/18/4 (шт.)</t>
  </si>
  <si>
    <t>Эдельвейс (0,8"х8) (RC 003) *1/18/4 (шт.)</t>
  </si>
  <si>
    <t>Звездные пальмы (0,8"х8) (RC 005) *1/18/4 (шт.)</t>
  </si>
  <si>
    <t>Разноцветные мерцания (0,8"х8) (RC 007) *1/18/4 (шт.)</t>
  </si>
  <si>
    <t>Вертихвостка (0,8"х8) (Р5544) * 1/24/2 (шт)</t>
  </si>
  <si>
    <t>Волшебные пионы (0,8"х8) (RC 006) *1/18/4 (шт.)</t>
  </si>
  <si>
    <t>Цветные хризантемы  (0,8"х8) (RC 004) *1/18/4 (шт.)</t>
  </si>
  <si>
    <t>Ламбада-8  (0,8"х 8) РФ) (спец. эфф.)  (Р5542) *1/24/2 (шт.)</t>
  </si>
  <si>
    <t>Колизей-8  (0,8"х 8) (СС5316) *1/24/4 (шт.)</t>
  </si>
  <si>
    <t>Легион-8  (0,8"х 8) (СС5315) *1/24/4 (шт.)</t>
  </si>
  <si>
    <t>Молния-8 (0,8"х 8) (спец. эфф.) (СС5312) *1/24/4 (шт.)</t>
  </si>
  <si>
    <t>Дайкири (0,8"х8) (Р5530) *1/24/2 (шт.)</t>
  </si>
  <si>
    <t>Медовуха (0,8"х8) (Р5532) *1/24/2 (шт.)</t>
  </si>
  <si>
    <t>Апероль (0,8"х8) (Р5548) *1/24/2 (шт.)</t>
  </si>
  <si>
    <t>Карабас (0,8"х8) (Р5546) *1/24/2 (шт.)</t>
  </si>
  <si>
    <t>Фантастика-8  (0,8"х 8) (спец. эфф.) (Р5540) *1/24/2 (шт.)</t>
  </si>
  <si>
    <t>Хохлома-8  (0,8"х 8) (спец. эфф.) (Р5541) *1/24/2 (шт.)</t>
  </si>
  <si>
    <t>GWL-0008 Roman Candle (0,8"х10) *1/48/2 (шт.) НАРОДНАЯ ЦЕНА!</t>
  </si>
  <si>
    <t>0,8"х10</t>
  </si>
  <si>
    <t>Биатлон-10 (0,8"х10) (РС5280) *1/24/4 (шт.)</t>
  </si>
  <si>
    <t>Белые лебеди (0,8"х12) (РС5290) *1/32/2 (шт.)</t>
  </si>
  <si>
    <t>0,8"х12</t>
  </si>
  <si>
    <t>Базука-24 (0,8"х24) (Р5940) *1/20 (шт)</t>
  </si>
  <si>
    <t>0,8"х24</t>
  </si>
  <si>
    <t>Зенитка-30 (0,8х30) (Р5950) *1/20/1 (шт.)</t>
  </si>
  <si>
    <t>0,8"х30</t>
  </si>
  <si>
    <t>Южный крест-40 (0,8"х 40) (спец. эфф.) (РС5720) *1/18 (шт.)</t>
  </si>
  <si>
    <t>0,8"х40</t>
  </si>
  <si>
    <t xml:space="preserve">     Калибр 0,9"</t>
  </si>
  <si>
    <t>Олимп (0,9"х6) (RC 021) *1/24/2 (шт.)</t>
  </si>
  <si>
    <t>0,9"х6</t>
  </si>
  <si>
    <t>Рио (0,9"х8) (RC 022C) *1/24/2 (шт.)</t>
  </si>
  <si>
    <t>0,9"х8</t>
  </si>
  <si>
    <t>Морозко (0,9"х8) (RC 022B) *1/24/2 (шт.)</t>
  </si>
  <si>
    <t>Румба (0,9"х8) (RC 022) *1/24/2 (шт.)</t>
  </si>
  <si>
    <t>Сафари (0,9"х8) (RC 022A) *1/24/2 (шт.)</t>
  </si>
  <si>
    <t xml:space="preserve">     Калибр 1"</t>
  </si>
  <si>
    <t>GWL-0009 Roman Candle (1"х5) *1/36 (шт.) НАРОДНАЯ ЦЕНА!</t>
  </si>
  <si>
    <t>1"х5</t>
  </si>
  <si>
    <t>Млечный путь (1"х6) (RC 024) *1/20/2 (шт.) НАРОДНАЯ ЦЕНА!</t>
  </si>
  <si>
    <t>1"х6</t>
  </si>
  <si>
    <t>Форсаж-8 (1"х 8) (НФ5030) *1/22/2 (шт.) НАРОДНАЯ ЦЕНА!</t>
  </si>
  <si>
    <t>1"х8</t>
  </si>
  <si>
    <t>Я не ёлка (1"х8) (БС520) *1/22/2 (шт.) НАРОДНАЯ ЦЕНА!</t>
  </si>
  <si>
    <t>SF-398A Roman Candle (1"х8) *1/36 (шт.) НАРОДНАЯ ЦЕНА!</t>
  </si>
  <si>
    <t>SF-398B Roman Candle (1"х8) *1/36 (шт.) НАРОДНАЯ ЦЕНА!</t>
  </si>
  <si>
    <t>SF-398C Roman Candle (1"х8) 1/36 (шт.) НАРОДНАЯ ЦЕНА!</t>
  </si>
  <si>
    <t>Дюймовочка (1"х8) (СС5413) *1/32/2 (шт.)</t>
  </si>
  <si>
    <t>Звездочет (1"х8) (RC 012) *1/18/2 (шт.)</t>
  </si>
  <si>
    <t>Феникс (1"х8) (RC 025) *1/20/2 (шт.)</t>
  </si>
  <si>
    <t>Пирошоу (1"х8) (RC 011) *1/18/2 (шт.)</t>
  </si>
  <si>
    <t>Феерия (1"х8) (RC 010) *1/18/2 (шт.)</t>
  </si>
  <si>
    <t>Центавр (1"х8) (RC 026) *1/20/2 (шт.)</t>
  </si>
  <si>
    <t>Антарес (1"х8) (RC 027) *1/20/2 (шт.)</t>
  </si>
  <si>
    <t>Вальс цветов (1"х8) (RC 009) *1/18/2 (шт.)</t>
  </si>
  <si>
    <t>Щелкунчик (1"х8) (RC 013) *1/18/2 (шт.)</t>
  </si>
  <si>
    <t>Шарики-фонарики-8 (1"х8) (Р5607) *1/24/2 (шт.)</t>
  </si>
  <si>
    <t>Бластер-8 (1"х8) (Р5608) *1/24/2 (шт.)</t>
  </si>
  <si>
    <t>Марракеш (1"х 8) (Р5609) * 1/24/2 (шт)</t>
  </si>
  <si>
    <t>Зажигалка-8  (1"х 8) (СС5412) *1/22/2 (шт.)</t>
  </si>
  <si>
    <t>Иллюзия-8 (1"х 8) (спец. эфф.) (СС5410) *1/22/2 (шт.)</t>
  </si>
  <si>
    <t>Малиновка-8 (1"х8) (РС5376) *1/18/2 (шт.)</t>
  </si>
  <si>
    <t>SF-396 Roman Candle  (1"х10) *1/18/2 (шт.) НАРОДНАЯ ЦЕНА!</t>
  </si>
  <si>
    <t>1"х10</t>
  </si>
  <si>
    <t>Лапландия (1,0"х 10) (РС5392) * 1/24/2 (шт)</t>
  </si>
  <si>
    <t>Терем-теремок (1"х10) (РС5390) *1/24/2 (шт.)</t>
  </si>
  <si>
    <t xml:space="preserve">     Калибр 1,25"</t>
  </si>
  <si>
    <t>Энергия-8 (1,2"х 8) (НФ5040) *1/25 (шт.)</t>
  </si>
  <si>
    <t>1,25"х8</t>
  </si>
  <si>
    <t>GWL-0012A Roman Candle (1,2"х8) *1/24 (шт.) НАРОДНАЯ ЦЕНА!</t>
  </si>
  <si>
    <t>Посох Деда Мороза (1,2"х8) (БС530) *1/25/1 (шт.) НАРОДНАЯ ЦЕНА!</t>
  </si>
  <si>
    <t>GWL-0012B Roman Candle (1,2"х8) *1/24 (шт.) НАРОДНАЯ ЦЕНА!</t>
  </si>
  <si>
    <t>GWL-0012C Roman Candle (1,2"х8) *1/24 (шт.) НАРОДНАЯ ЦЕНА!</t>
  </si>
  <si>
    <t>Золотой дракон (1,25"х8) (RC 015) *1/24 (шт.)</t>
  </si>
  <si>
    <t>Магический дракон (1,25"х8) (RC 014) *1/24 (шт.)</t>
  </si>
  <si>
    <t>Меч короля (1,25"x8) (СС5603) *1/36/1 (шт)</t>
  </si>
  <si>
    <t>Пина-колада (1,25"х8) (Р5724) *1/12/2 (шт.)</t>
  </si>
  <si>
    <t>Хризантема-8 (1,2"х 8) (спец. эфф.) (Р5726) *1/30 (шт.)</t>
  </si>
  <si>
    <t>Яркие залпы-8 (1,2"х 8) (СС5602) *1/25 (шт.)</t>
  </si>
  <si>
    <t xml:space="preserve">     Калибр 1,5"</t>
  </si>
  <si>
    <t>Турбо (1,5"х6) (RC 030) *1/24 (шт.)</t>
  </si>
  <si>
    <t>1,5"х6</t>
  </si>
  <si>
    <t>Буратино (1,5"х8) (БС570) *1/18 (шт.) НАРОДНАЯ ЦЕНА!</t>
  </si>
  <si>
    <t>1,5"х8</t>
  </si>
  <si>
    <t>GWL-0013A Roman Candle (1,5"х8) *1/24 (шт.) НАРОДНАЯ ЦЕНА!</t>
  </si>
  <si>
    <t>GWL-0013B Roman Candle (1,5"х8) *1/24 (шт.) НАРОДНАЯ ЦЕНА!</t>
  </si>
  <si>
    <t>GWL-0013C Roman Candle (1,5"х8) *1/24 (шт.) НАРОДНАЯ ЦЕНА!</t>
  </si>
  <si>
    <t>Атлант (1,5"х8) (RC 029) *1/24 (шт.) НАРОДНАЯ ЦЕНА!</t>
  </si>
  <si>
    <t>Максимус (1,5"х8) (RC 028) *1/24 (шт.) НАРОДНАЯ ЦЕНА!</t>
  </si>
  <si>
    <t>Галактика-8 (СС) (1,5"х8) (СС5615) *1/18 (шт.)</t>
  </si>
  <si>
    <t>Самоцветы-8 (1,5"х8) (СС5606) *1/18 (шт.)</t>
  </si>
  <si>
    <t>Альтаир-8 (1,5"х 8) (спец. эфф.) (Р5800) *1/18 (шт.)</t>
  </si>
  <si>
    <t>Магия огня-8 (1,5"х 8) (РС5670) *1/20 (шт.)</t>
  </si>
  <si>
    <t>Снегири (1,5"х8) (Р5802) *1/18 (шт.)</t>
  </si>
  <si>
    <t xml:space="preserve">     Калибр 1,8"</t>
  </si>
  <si>
    <t>Яблоки на снегу (1,9"х8) (Р5890) * 1/16 (шт)</t>
  </si>
  <si>
    <t>1,8"х8</t>
  </si>
  <si>
    <t xml:space="preserve">     Калибр 2"</t>
  </si>
  <si>
    <t>SF-399A Roman Candle (2"х8) *1/12 (шт.) НАРОДНАЯ ЦЕНА!</t>
  </si>
  <si>
    <t>2"х8</t>
  </si>
  <si>
    <t>SF-399C Roman Candle (2"х8) *1/12 (шт.) НАРОДНАЯ ЦЕНА!</t>
  </si>
  <si>
    <t>SF-399B Roman Candle (2"х8) *1/12 (шт.)</t>
  </si>
  <si>
    <t>Сказочная феерия-8 (2"х8) (Р5900) *1/8 (шт.)</t>
  </si>
  <si>
    <t>6. Одиночные салюты</t>
  </si>
  <si>
    <t>Заряды энергии (1,5х6зарядов) (НФ6000) *1/12/(6) (шт.)</t>
  </si>
  <si>
    <t>Танчики (1,8х6 зарядов) (НФ6004) *1/12/(6) (шт.)</t>
  </si>
  <si>
    <t>GP2515 Artillety Shell (1.75"х8 зарядов) *1/15/6 (шт.)</t>
  </si>
  <si>
    <t>Метеоры (2"х6) (НФ6008) *1/12/(6) (шт.) НАРОДНАЯ ЦЕНА!</t>
  </si>
  <si>
    <t>Звезда (1,75"х6) (ASH 1701) *1/12 (шт.)</t>
  </si>
  <si>
    <t>Неваляшка (1,7" х6 зарядов) (РС5930) *1/15 (шт.)</t>
  </si>
  <si>
    <t>Матрешка (1,75" 6 зарядов)  (Р6210) *1/12/(6) (шт.)</t>
  </si>
  <si>
    <t>Император (2,0"х6) (ASH 1702) *1/12 (шт.)</t>
  </si>
  <si>
    <t>Экстремал (2,0"х6) (ASH 2001) *1/12 (шт.)</t>
  </si>
  <si>
    <t>7. Батареи салютов</t>
  </si>
  <si>
    <t>K1130C7 Saturn Missile Battery (0,2"х25) *1/60/2 (шт.)</t>
  </si>
  <si>
    <t>0,3"х25</t>
  </si>
  <si>
    <t>Катюша (0,3"х25) (СС7010) *1/120 (шт.)</t>
  </si>
  <si>
    <t>GWT2542 Saturn Missile Battery (0,3"х50) *1/60 (шт.)</t>
  </si>
  <si>
    <t>0,3"х50</t>
  </si>
  <si>
    <t>Хрустальные льдинки (0,3"х50) (СС7014) *1/40 (шт.)</t>
  </si>
  <si>
    <t>K1130C12 Saturn Missile Battery (0,3х100) *1/30 (шт.)</t>
  </si>
  <si>
    <t>0,3"х100</t>
  </si>
  <si>
    <t>Бешеный страус (0,3"х100) (Р7008) *1/24 (шт.)</t>
  </si>
  <si>
    <t>GP301 Force (0,6"х25) *1/24 (шт.)</t>
  </si>
  <si>
    <t>0,6"х25</t>
  </si>
  <si>
    <t>Фуршет (0,6"х32) (Р7018) *1/18 (шт.)</t>
  </si>
  <si>
    <t>0,6"х32</t>
  </si>
  <si>
    <t>Шах и мат (0,6"х32) (Р7017) *1/18 (шт.)</t>
  </si>
  <si>
    <t>GP303 Destroy (0,6"x36) 5 эффектов *1/16 (шт)</t>
  </si>
  <si>
    <t>0,6"х36</t>
  </si>
  <si>
    <t>Зимние каникулы (0,6"х36) (РС6005) *1/18 (шт.)</t>
  </si>
  <si>
    <t>Сафари (0,6"х36) (ОС6015) *1/18 (шт.)</t>
  </si>
  <si>
    <t>Огненный цветок</t>
  </si>
  <si>
    <t>Хиханьки да Хахоньки (0,6"х36) (ОС6010) *1/18 (шт.)</t>
  </si>
  <si>
    <t>Конфетки-бараночки (0,6"х36) (РС6010) *1/18 (шт.)</t>
  </si>
  <si>
    <t>Сказочный хоровод (0,6"х48) (СС7022) *1/12 (шт.)</t>
  </si>
  <si>
    <t>0,6"х48</t>
  </si>
  <si>
    <t>GP305 FREAKY LIGHTS (0,6"х50) 5 эффектов *1/12 (шт.) НАРОДНАЯ ЦЕНА!</t>
  </si>
  <si>
    <t>0,6"х50</t>
  </si>
  <si>
    <t>Зимние забавы (0,6"х50) (СС7024) *1/12 (шт.)</t>
  </si>
  <si>
    <t>0,6"х60</t>
  </si>
  <si>
    <t>Искристая сказка (0,6"х64) (СС7026) *1/6 (шт.)</t>
  </si>
  <si>
    <t>0,6"х64</t>
  </si>
  <si>
    <t>Новогодиус (0,6"х80) (Р7033) *1/8 (шт.)</t>
  </si>
  <si>
    <t>0,6"х80</t>
  </si>
  <si>
    <t>Амстердам (0,6"х88) (ОС6020) *1/8 (шт.) АКЦИЯ!!!</t>
  </si>
  <si>
    <t>0,6"х88</t>
  </si>
  <si>
    <t>По барабану! (0,6"х88) (ОС6018) *1/8 (шт.)</t>
  </si>
  <si>
    <t>Зимняя вишня (0,6"х88) (РС6057) *1/8 (шт.)</t>
  </si>
  <si>
    <t>GP306 SPEED BACKGROUND (0,6"х100) 5 эффектов *1/6 (шт.) НАРОДНАЯ ЦЕНА!</t>
  </si>
  <si>
    <t>0,6"х100</t>
  </si>
  <si>
    <t>Сказочный мир (0,6"х100) (ОС6025) *1/6 (шт.)</t>
  </si>
  <si>
    <t>Коралловый риф (0,6"х100) (РС6060) *1/6(шт.)</t>
  </si>
  <si>
    <t>Панда (0,6"х100) (ОС6030) *1/6 (шт.)</t>
  </si>
  <si>
    <t>Зимняя сказка (0,6"х100) (РС6067) *1/6 (шт.)</t>
  </si>
  <si>
    <t>Волшебная ночь (0,6"х100) (СС7037) *1/6 (шт.)</t>
  </si>
  <si>
    <t>Бах-стори (0,6"х104) (Р7036) *1/6 (шт.)</t>
  </si>
  <si>
    <t>0,6"х104</t>
  </si>
  <si>
    <t>Разноцветные снежинки (0,6"х120) (СС7039) *1/4 (шт.)</t>
  </si>
  <si>
    <t>0,6"х120</t>
  </si>
  <si>
    <t>Кот-Котофеич (0,7"х8) (РС6132) *1/40 (шт.)</t>
  </si>
  <si>
    <t>0,7"х8</t>
  </si>
  <si>
    <t>Пиро Квест (0,7"х8) (РС6136) *1/40 (шт.)</t>
  </si>
  <si>
    <t>Чувачок (0,7"х8) (РС6130) *1/40 (шт.)</t>
  </si>
  <si>
    <t>Кенгуру (0,7"х8) (ОС6035) *1/40 (шт.)</t>
  </si>
  <si>
    <t>Крепыш (0,7"х8) (ОС6038) *1/40 (шт.)</t>
  </si>
  <si>
    <t>Веселый пиротехник (0,7"х10) (РС6250) *1/40 (шт.)</t>
  </si>
  <si>
    <t>0,7"х10</t>
  </si>
  <si>
    <t>Задоринка (0,7"х10) (ОС6039) *1/40 (шт.)</t>
  </si>
  <si>
    <t>Мишка на севере (0,7"х20) (Р7021) *1/12 (шт.)</t>
  </si>
  <si>
    <t>0,7"х20</t>
  </si>
  <si>
    <t>Малибу (0,7"х20) 5 эфф (Р7020) * 1/24 (шт.)</t>
  </si>
  <si>
    <t>Снежок (0,7"х25) (СС7042) *1/18 (шт.)</t>
  </si>
  <si>
    <t>0,7"х25</t>
  </si>
  <si>
    <t>Салют-бар (0,7"х48) (Р7026) *1/12 (шт.)</t>
  </si>
  <si>
    <t>0,7"х48</t>
  </si>
  <si>
    <t>Звездная гирлянда (0,7"х49) (СС7046) *1/8 (шт.)</t>
  </si>
  <si>
    <t>0,7"х49</t>
  </si>
  <si>
    <t>Операция "Ёлка" (0,7"х100) (СС7048) *1/4 (шт.)</t>
  </si>
  <si>
    <t>0,7"х100</t>
  </si>
  <si>
    <t>M0801 Flower (0,8"х7) 3 эффекта *1/72 (шт.) НАРОДНАЯ ЦЕНА!</t>
  </si>
  <si>
    <t>0,8"х7</t>
  </si>
  <si>
    <t>Абрикоски (0,8"х7) (СС7059) *1/24 (шт.)</t>
  </si>
  <si>
    <t>Азарт (0,8"х7) (СС7054) *1/24 (шт.)</t>
  </si>
  <si>
    <t>Елочка (0,8"х7) (СС7050) *1/24 (шт.)</t>
  </si>
  <si>
    <t>Мишутка (0,8"х7) (СС7056) *1/24 (шт.)</t>
  </si>
  <si>
    <t>M0812 Angel (0,8"х9) 3 эффекта *1/36 (шт.) НАРОДНАЯ ЦЕНА!</t>
  </si>
  <si>
    <t>0,8"х9</t>
  </si>
  <si>
    <t>Бумбокс (0,8"х 9) (Р7046) *1/24 (шт.)</t>
  </si>
  <si>
    <t>Карамельки (0,8"х10) (НФ7006) *1/36 (шт.) НАРОДНАЯ ЦЕНА!</t>
  </si>
  <si>
    <t>Смайлики (0,8"х10) (НФ7002) *1/36 (шт.) НАРОДНАЯ ЦЕНА!</t>
  </si>
  <si>
    <t>Будем (0,8"х10) (ЕС215) *1/24 (шт.)</t>
  </si>
  <si>
    <t>Огонь дракона (0,8"х10) (CL 007) *1/20 (шт.)</t>
  </si>
  <si>
    <t>Вождь краснокожих (0,8"х10) (ОС6042) *1/24 (шт.)</t>
  </si>
  <si>
    <t>Новогодняя фантазия (0,8"х10) (C 002) *1/20 (шт.)</t>
  </si>
  <si>
    <t>Мерцающий закат (0,8"х10) (СС7201) *1/24 (шт.)</t>
  </si>
  <si>
    <t>Светлая улыбка (0,8"х10) (СС7200) *1/24 (шт.)</t>
  </si>
  <si>
    <t>GW218-89 Balet (0,8"х11) 2 эффекта *1/96 (шт.) НАРОДНАЯ ЦЕНА!</t>
  </si>
  <si>
    <t>0,8"х11</t>
  </si>
  <si>
    <t>GW218-93 Colorfull World, Cheerful (0,8"х12) 3 эффекта *1/36 (шт.) НАРОДНАЯ ЦЕНА!</t>
  </si>
  <si>
    <t>GW218-94 Colorfull World, World Peace  (0,8"х12) 4 эффекта *1/36 (шт.) НАРОДНАЯ ЦЕНА!</t>
  </si>
  <si>
    <t>Праздник (0,8"х12) (С 003) *1/20 (шт.)</t>
  </si>
  <si>
    <t>Кубок Чемпиона (0,8"х12) (CL 008) *1/18 (шт.)</t>
  </si>
  <si>
    <t>Бумеранг (0,8"х13) (ОС6045) *1/24 (шт.)</t>
  </si>
  <si>
    <t>0,8"х13</t>
  </si>
  <si>
    <t>Елка с огоньком (0,8"х13) (Р7210) *1/24 (шт.)</t>
  </si>
  <si>
    <t>Снежинки (0,8"х16) (НФ7010) *1/24 (шт.) НАРОДНАЯ ЦЕНА!</t>
  </si>
  <si>
    <t>0,8"х16</t>
  </si>
  <si>
    <t>Сердечки (0,8"х16) (НФ7014) *1/36 (шт.)</t>
  </si>
  <si>
    <t>Радуга (0,8"х16) (НФ7018) *1/18 (шт.)</t>
  </si>
  <si>
    <t>Теремок (0,8"х16) (НФ7012) *1/24 (шт.)</t>
  </si>
  <si>
    <t>SB08-016 Naz (0,8"х16) *1/24 (шт.) НАРОДНАЯ ЦЕНА!</t>
  </si>
  <si>
    <t>M0841 Hanney (0.8"х16) *1/24 (шт.) НАРОДНАЯ ЦЕНА!</t>
  </si>
  <si>
    <t>Оригами (0,8"х 16) (ОС6221) * 1/24 (шт) НАРОДНАЯ ЦЕНА!</t>
  </si>
  <si>
    <t>GP497 Starlight (0,8"х16) 3 эффекта *1/24 (шт.) НАРОДНАЯ ЦЕНА!</t>
  </si>
  <si>
    <t>GP497-2 We Are The Night (0,8"х16) 4 эффекта *1/24 (шт.) НАРОДНАЯ ЦЕНА!</t>
  </si>
  <si>
    <t>Фейерверчик (0,8"х16) (БС701) *1/18 (шт.) НАРОДНАЯ ЦЕНА!</t>
  </si>
  <si>
    <t>Варежки для ёлки (0,8"х16) (БС702) *1/24 (шт.) НАРОДНАЯ ЦЕНА!</t>
  </si>
  <si>
    <t>Бонсай (0,8"х16) (ОС6222) *1/24 (шт.)</t>
  </si>
  <si>
    <t>Аниме (0,8"х16) (ОС6220) *1/24 (шт.)</t>
  </si>
  <si>
    <t>Гнев ангелов (0,8"х16)  (C 004) *1/20 (шт.)</t>
  </si>
  <si>
    <t>Ё-Ёлка (0,8"х 16) (Р7062) * 1/16 (шт.)</t>
  </si>
  <si>
    <t>Тип-топ (0,8"х16) (Р7068) *1/16 (шт.)</t>
  </si>
  <si>
    <t>Ритм жизни (0,8"х16) (РС6310) *1/24 (шт.)</t>
  </si>
  <si>
    <t>Снегурочка (РП) (0,8"х16) (РС6305) *1/24 (шт.)</t>
  </si>
  <si>
    <t>Биг бум (0,8"х16) (ЕС228) *1/24 (шт.)</t>
  </si>
  <si>
    <t>Стрекоза (0,8"х16) (Р7067) *1/24 (шт.)</t>
  </si>
  <si>
    <t>Сбыча мечт (0,8"х16) (СС7217) *1/18 (шт.)</t>
  </si>
  <si>
    <t>Ставь лайк! (0,8"х16) (СС7208) *1/24 (шт.)</t>
  </si>
  <si>
    <t>Огненная магия (0,8"х16) (СС7205) *1/24 (шт.)</t>
  </si>
  <si>
    <t>Колокольчики (0,8"х19) (НФ7106) *1/20 (шт.) НАРОДНАЯ ЦЕНА!</t>
  </si>
  <si>
    <t>0,8"х19</t>
  </si>
  <si>
    <t>Брусничка (0,8"х19) (БС703) *1/20 (шт.) НАРОДНАЯ ЦЕНА!</t>
  </si>
  <si>
    <t>GP493 Word (0,8"х19) 3 эффекта *1/18 (шт.) НАРОДНАЯ ЦЕНА!</t>
  </si>
  <si>
    <t>Фифочка (0,8"х19) (РС6365) *1/18 (шт.)</t>
  </si>
  <si>
    <t>День Рождения (0,8"х 19) (Р7218) * 1/12 (шт.)</t>
  </si>
  <si>
    <t>Лапландия (0,8"х19) (ОС6240) *1/24 (шт.)</t>
  </si>
  <si>
    <t>Подсолнухи (0,8"х19) (ОС6251) *1/24 (шт.)</t>
  </si>
  <si>
    <t>Викинг (0,8"х19) (C 104) *1/12 (шт.)</t>
  </si>
  <si>
    <t>Добрыня (0,8"х19) (C 105) *1/12 (шт.)</t>
  </si>
  <si>
    <t>Веснушки (0,8"х19) (ОС6255) * 1/12 (шт.)</t>
  </si>
  <si>
    <t>Лиса Алиса (0,8"х19) (РС6380) *1/18 (шт.)</t>
  </si>
  <si>
    <t>Зимние Альпы (0,8"х19) (ОС6245) *1/24 (шт.)</t>
  </si>
  <si>
    <t>Под шашлычок! (0,8"х19) (Р7216) *1/16 (шт.)</t>
  </si>
  <si>
    <t>Мороз &amp; Ко (0,8"х19) (РС6360) *1/18 (шт.)</t>
  </si>
  <si>
    <t>Калинка-Малинка (СС) (0,8х19) (СС7220) *1/18 (шт.)</t>
  </si>
  <si>
    <t>От винта! (0,8"х19) (СС7222) *1/18 (шт.)</t>
  </si>
  <si>
    <t>SB08-020 Хинкали (0,8"х20) *1/18 (шт.) НАРОДНАЯ ЦЕНА!</t>
  </si>
  <si>
    <t>0,8"х20</t>
  </si>
  <si>
    <t>GP485 Kaleidoscope (0,8"х20) 4 эффекта *1/18 (шт.) НАРОДНАЯ ЦЕНА!</t>
  </si>
  <si>
    <t>GP485-2 Fine View (0,8"х20) 5 эффектов *1/18 (шт.) НАРОДНАЯ ЦЕНА!</t>
  </si>
  <si>
    <t>Мухомор (0,8"х20) (Р7232) *1/12 (шт.)</t>
  </si>
  <si>
    <t>Ба-бах (0,8"х20) (ЕС240) *1/12 (шт.)</t>
  </si>
  <si>
    <t>Баобаб (0,8"х20) (ОС6271) *1/12 (шт.)</t>
  </si>
  <si>
    <t>Кыш Бабай (0,8"х20) (ОС6280) *1/12 (шт.)</t>
  </si>
  <si>
    <t>Морозко (0,8"х24) (РС6387) *1/18 (шт.)</t>
  </si>
  <si>
    <t>Зимушка (0,8"х25) (НФ7030) *1/16 (шт.) НАРОДНАЯ ЦЕНА!</t>
  </si>
  <si>
    <t>0,8"х25</t>
  </si>
  <si>
    <t>Зажигательный танец (0,8"х 25) (НФ7022) *1/16 (шт.) НАРОДНАЯ ЦЕНА!</t>
  </si>
  <si>
    <t>Поздравляю (0,8"х25) (НФ7026) *1/16 (шт.) НАРОДНАЯ ЦЕНА!</t>
  </si>
  <si>
    <t>SB08-025 Гроздья саперави (0,8"х25) *1/12 (шт.) НАРОДНАЯ ЦЕНА!</t>
  </si>
  <si>
    <t>Колобок (0,8"х25) (НФ7008) *1/16 (шт.) НАРОДНАЯ ЦЕНА!</t>
  </si>
  <si>
    <t>ZAMOROZKA (0,8"х25) (БС708) *1/16 (шт.) НАРОДНАЯ ЦЕНА!</t>
  </si>
  <si>
    <t>M0861 Friend (0,8"х25) 3 эффекта *1/12 (шт.) НАРОДНАЯ ЦЕНА!</t>
  </si>
  <si>
    <t>GP498 Dream (0,8"х25) 3 эффекта *1/12 (шт.) НАРОДНАЯ ЦЕНА!</t>
  </si>
  <si>
    <t>GP498-2 Sofia (0,8"х25) 3 эффекта *1/12 (шт.) НАРОДНАЯ ЦЕНА!</t>
  </si>
  <si>
    <t>Аромат Мандарин (0,8"х25) (БС707) *1/16 (шт.) НАРОДНАЯ ЦЕНА!</t>
  </si>
  <si>
    <t>Щас как бабахну! (0,8"х25) (БС705) *1/16 (шт.) НАРОДНАЯ ЦЕНА!</t>
  </si>
  <si>
    <t>Феникс (0,8"х25) (ОС6320) *1/16 (шт.)</t>
  </si>
  <si>
    <t>Финт ушами (0,8"х25) (ОС6341) *1/16 (шт.)</t>
  </si>
  <si>
    <t>Пушистая снежинка (0,8"х25) (БС700) *1/16 (шт.)</t>
  </si>
  <si>
    <t>Власть огня (0,8"х25) (C 010) *1/12 (шт.)</t>
  </si>
  <si>
    <t>Легион (0,8"х25) (C 028) *1/12 (шт.)</t>
  </si>
  <si>
    <t>Эликсир молодости (0,8"х25) (C 026) *1/12 (шт.)</t>
  </si>
  <si>
    <t>Ёшкин кот (0,8"х25) (Р7278) *1/12 (шт.)</t>
  </si>
  <si>
    <t>Шампусик (0,8"х 25) (Р7282) * 1/12 (шт.)</t>
  </si>
  <si>
    <t>Ход конём (0,8"х25) (ОС6330) *1/16 (шт.)</t>
  </si>
  <si>
    <t>Крендель (0,8"х25) (Р7281) *1/18 (шт.)</t>
  </si>
  <si>
    <t>Жар-птица (РФ) (0,8"х25) (Р7302) *1/12 (шт.)</t>
  </si>
  <si>
    <t>Новогод (0,8"х25) (ЕС268) 1*/12 (шт.)</t>
  </si>
  <si>
    <t>Маракасы (0,8"х25) (ЕС260) *1/18 (шт.)</t>
  </si>
  <si>
    <t>Бамболео (0,8"х25) (Р7250) *1/8 (шт.)</t>
  </si>
  <si>
    <t>Мороз-колотун (0,8"х25) (Р7252) *1/12 (шт.)</t>
  </si>
  <si>
    <t>Сам ты Клаус (0,8"х25) (СС7254) *1/16 (шт.)</t>
  </si>
  <si>
    <t>Удачный выбор (0,8"х25) (СС7253) *1/16 (шт.)</t>
  </si>
  <si>
    <t>Новогоднее настроение (0,8"х25) (СС7252) *1/16 (шт.)</t>
  </si>
  <si>
    <t>Дорожный патруль (0,8"х25) (СС7256) *1/16 (шт.)</t>
  </si>
  <si>
    <t>Сомбреро (0,8"х26) (Р7314) *1/12 (шт.)</t>
  </si>
  <si>
    <t>0,8"х26</t>
  </si>
  <si>
    <t>Кайф-пати (0,8"х35) (ОС6405) *1/12 (шт.)</t>
  </si>
  <si>
    <t>0,8"х35</t>
  </si>
  <si>
    <t>Хрустальные узоры (0,8"х36) (НФ7034) *1/8 (шт.) НАРОДНАЯ ЦЕНА!</t>
  </si>
  <si>
    <t>0,8"х36</t>
  </si>
  <si>
    <t>Мандаринки (0,8"х36) (НФ7038) *1/12 (шт.) НАРОДНАЯ ЦЕНА!</t>
  </si>
  <si>
    <t>Цена/Качество (0,8"х36) (БС712) *1/12 (шт.) НАРОДНАЯ ЦЕНА!</t>
  </si>
  <si>
    <t>SB08-036 Базар (0,8"х36) *1/12 (шт.) НАРОДНАЯ ЦЕНА!</t>
  </si>
  <si>
    <t>Что-то с чем-то! (0,8"х36) (БС710) *1/8 (шт.) НАРОДНАЯ ЦЕНА!</t>
  </si>
  <si>
    <t>MC107 Show (0,8"х36) 4 эффекта *1/12 (шт.) НАРОДНАЯ ЦЕНА!</t>
  </si>
  <si>
    <t>Совенок (0,8"х36) (Р7296) *1/8 (шт.)</t>
  </si>
  <si>
    <t>На свадьбу (0,8х36) (C 030) *1/8 (шт.)</t>
  </si>
  <si>
    <t>Крутой вираж (0,8"х36) (ОС6420) *1/12 (шт.)</t>
  </si>
  <si>
    <t>Цветущая сакура (0,8"х36) (ОС6422) *1/12 (шт.)</t>
  </si>
  <si>
    <t>Крутые перцы (0,8"х36) (Р7294) *1/8 (шт.)</t>
  </si>
  <si>
    <t>ПРО-Праздник (0,8"х 36) (ЕС276) *1/8 (шт.)</t>
  </si>
  <si>
    <t>Ватрушка (0,8"х36) (Р7293) *1/8 (шт.)</t>
  </si>
  <si>
    <t>С ДР! (0,8"х36) (Р7291) *1/12 (шт.)</t>
  </si>
  <si>
    <t>Волшебный салют (0,8"х36) (С 120) *1/12 (шт.)</t>
  </si>
  <si>
    <t>Три желания (0,8"х36) (C 121) *1/8 (шт.)</t>
  </si>
  <si>
    <t>Ледяное ожидание (0,8"х36) (ОС6425) *1/12 (шт.)</t>
  </si>
  <si>
    <t>Мороз проказник (0,8"х36) (СС7262) *1/12 /(шт.)</t>
  </si>
  <si>
    <t>Клад (0,8"х36) (СС7263) *1/12 (шт.)</t>
  </si>
  <si>
    <t>Зимние каникулы (0,8"х36) (СС7244) *1/8 (шт.)</t>
  </si>
  <si>
    <t>Мальчик или девочка(девочка) (0,8"х36) (ЕС279) *1/6 (шт.)</t>
  </si>
  <si>
    <t>Мальчик или девочка(мальчик) (0,8"х36) (ЕС278) *1/6 (шт.)</t>
  </si>
  <si>
    <t>Бумбастик (0,8"х36) (СС7242) *1/12 (шт.)</t>
  </si>
  <si>
    <t>Тяпница (0,8"х36) (СС7240) *1/12 (шт.)</t>
  </si>
  <si>
    <t>Ковбой (0,8"х48) (ОС6490) *1/8 (шт.)</t>
  </si>
  <si>
    <t>0,8"х48</t>
  </si>
  <si>
    <t>Мечты в небо (0,8"х48) (ОС6435) *1/6 (шт.)</t>
  </si>
  <si>
    <t>Верные друзья (РС6550) (0,8"х48) *1/8 (шт.)</t>
  </si>
  <si>
    <t>Карнавальная ночь (0,8"х49) (НФ7048) *1/8 (шт.) НАРОДНАЯ ЦЕНА!</t>
  </si>
  <si>
    <t>0,8"х49</t>
  </si>
  <si>
    <t>Звездный (0,8"х49) (НФ7044) *1/8 (шт.) НАРОДНАЯ ЦЕНА!</t>
  </si>
  <si>
    <t>Снегурка (0,8"х49) (НФ7046) *1/8 (шт.) НАРОДНАЯ ЦЕНА!</t>
  </si>
  <si>
    <t>Зимуха (0,8"х49) (БС715) *1/8 (шт.) НАРОДНАЯ ЦЕНА!</t>
  </si>
  <si>
    <t>MC139 Sexy Blue (0,8"х49) 7 эффектов *1/8 (шт.) НАРОДНАЯ ЦЕНА!</t>
  </si>
  <si>
    <t>M0881 Crazy time (0,8"х49) *1/8 (шт.) НАРОДНАЯ ЦЕНА!</t>
  </si>
  <si>
    <t>Огни Читы (0,8"х49) (CL 022) *1/8 (шт.)</t>
  </si>
  <si>
    <t>Теремок (0,8"х49) (Р7328) *1/8 (шт.)</t>
  </si>
  <si>
    <t>Иркутяночка (0,8"х49) (БС714) *1/8 (шт.)</t>
  </si>
  <si>
    <t>Мы Русские (0,8"х49) (БС720) *1/8 (шт.)</t>
  </si>
  <si>
    <t>Елки-палки (0,8"х49) (Р7327) *1/8 (шт.)</t>
  </si>
  <si>
    <t>Красотка (0,8"х49) (ЕС302) *1/8 (шт.)</t>
  </si>
  <si>
    <t>Новогодняя кутерьма (0,8"х49) (Р7323) *1/8 (шт.)</t>
  </si>
  <si>
    <t>Буйство огня (0,8"х49) (СС7274) *1/6 (шт.)</t>
  </si>
  <si>
    <t>Вишенка на торте (0,8"х49) (ОС6430) 1/4 (шт)</t>
  </si>
  <si>
    <t>Сомбреро (0,8"х49) (ОС6429) *1/4 (шт.)</t>
  </si>
  <si>
    <t>Все и сразу (0,8"х49) (РС6554) *1/4 (шт.)</t>
  </si>
  <si>
    <t>Выше неба (0,8"х49) (РС6581) *1/4 (шт.)</t>
  </si>
  <si>
    <t>Под шампусик (0,8"х49) (РС6591) *1/4 (шт.)</t>
  </si>
  <si>
    <t>Гусарский (0,8"х49) (СС7265) *1/8 (шт.)</t>
  </si>
  <si>
    <t>Букет хризантем (0,8"х49) (СС7267) *1/8 (шт.)</t>
  </si>
  <si>
    <t>Цветной мир (0,8"х49) (СС7266) *1/6 (шт.)</t>
  </si>
  <si>
    <t>Сорок девять (0,8"х49) (СС7268) *1/8 (шт.)</t>
  </si>
  <si>
    <t>Салют любви (0,8"х60) (С 023) *1/6 (шт.)</t>
  </si>
  <si>
    <t>0,8"х60</t>
  </si>
  <si>
    <t>Доброе чудо (0,8"х64) (РС6610) *1/4 (шт.)</t>
  </si>
  <si>
    <t>0,8"х64</t>
  </si>
  <si>
    <t>Небесный цветок (0,8"х64) (ОС6530) *1/6 (шт.)</t>
  </si>
  <si>
    <t>Праздник к нам приходит (0,8"х64) (Р7452) *1/6 (шт.)</t>
  </si>
  <si>
    <t>Шик и блеск (0,8"х64) (СС7272) *1/6 (шт.)</t>
  </si>
  <si>
    <t>Букет невесты (0,8"х80) (C 063) *1/4 (шт.)</t>
  </si>
  <si>
    <t>0,8"х80</t>
  </si>
  <si>
    <t>Фруктовый микс (0,8"х80) (Р7337) *1/4 (шт.)</t>
  </si>
  <si>
    <t>Золотая рыбка (0,8"х100) (НФ7052) *1/2 (шт.) НАРОДНАЯ ЦЕНА!</t>
  </si>
  <si>
    <t>0,8"х100</t>
  </si>
  <si>
    <t>Рождество (0,8"х100) (НФ7050) *1/2 (шт.) НАРОДНАЯ ЦЕНА!</t>
  </si>
  <si>
    <t>Наконец-то Новый год (0,8"х100) (БС733) *1/2 (шт.) НАРОДНАЯ ЦЕНА!</t>
  </si>
  <si>
    <t>SB08-100 Dadirri (0,8"х100) *1/4 (шт.) НАРОДНАЯ ЦЕНА!</t>
  </si>
  <si>
    <t>Морозные кружева (0,8"х100) (НФ7054) *1/4 (шт.) НАРОДНАЯ ЦЕНА!</t>
  </si>
  <si>
    <t>MC114 Добрый молодец (0,8"х100) 5 эффектов *1/4 (шт.)</t>
  </si>
  <si>
    <t>Гладиаторы (0,8"х100) (С 134) *1/4 (шт.)</t>
  </si>
  <si>
    <t>Ночная иллюзия (0,8"х100) (C 136) *1/4 (шт.)</t>
  </si>
  <si>
    <t>MC134 Очей очарованье (0,8"х100) 9 эффектов *1/4 (шт.)</t>
  </si>
  <si>
    <t>У меня тост! (0,8"х100) (БС731) *1/2 (шт.)</t>
  </si>
  <si>
    <t>Салат подождёт (0,8"х100) (Р7351) *1/2 (шт.)</t>
  </si>
  <si>
    <t>Виски-кола (0,8"х100) (ЕС354) *1/4 (шт.)</t>
  </si>
  <si>
    <t>С Наступающим! (0,8"х100) (Р7354) *1/4 (шт.)</t>
  </si>
  <si>
    <t>Красавица зима (0,8"х100) (СС7285) *1/2 (шт.)</t>
  </si>
  <si>
    <t>Новогодняя соточка (0,8"х100) (РС6641) *1/4 (шт.)</t>
  </si>
  <si>
    <t>Сто пудов (0,8"х100) (РС6644) *1/4 (шт.)</t>
  </si>
  <si>
    <t>Тариф "Новогодний" (0,8"х100) (РС6643) *1/4 (шт.)</t>
  </si>
  <si>
    <t>Дед весельчак (0,8"х100) (СС7283) *1/4 (шт.)</t>
  </si>
  <si>
    <t>Жемчужная россыпь (0,8"х100) (СС7282) *1/4 (шт.)</t>
  </si>
  <si>
    <t>Биг-Бэн (0,8"х100) (ОС6951) *1/1 (шт.)</t>
  </si>
  <si>
    <t>Новогодний вайб (0,8"х100) (РС6645) *1/4 (шт.)</t>
  </si>
  <si>
    <t>Манадриновое настроение (0,8"х100) (РС6651) *1/2 (шт.)</t>
  </si>
  <si>
    <t>Яркий и Жаркий (0,8"х100) (Р7341) *1/4 (шт.)</t>
  </si>
  <si>
    <t>100 карат (0,8"х100) (Р7332)  *1/4 (шт.)</t>
  </si>
  <si>
    <t>MC127 Wellbeing Fireworks (0,8"х120)  8 эффектов *1/2 (шт.)</t>
  </si>
  <si>
    <t>0,8"х120</t>
  </si>
  <si>
    <t>Салют V (0,8"х130) (Р7359) *1/2 (шт.)</t>
  </si>
  <si>
    <t>0,8"х130</t>
  </si>
  <si>
    <t>Небесная лазурь (НФ) (0,8"х150) (НФ7058) *1/3 (шт.)</t>
  </si>
  <si>
    <t>0,8"х150</t>
  </si>
  <si>
    <t>Мармелад (0,9"х14) (РС6291) *1/12 (шт.)</t>
  </si>
  <si>
    <t>0,9"х14</t>
  </si>
  <si>
    <t>Баобаб (0,9"х20) (ОС6270) *1/12 (шт.)</t>
  </si>
  <si>
    <t>0,9"х20</t>
  </si>
  <si>
    <t>Моцарт (0,9"х20) (ОС6275) *1/12 (шт.)</t>
  </si>
  <si>
    <t>Зимовёнок Кузя (0,9"х20) (РС6385) *1/12 (шт.)</t>
  </si>
  <si>
    <t>Даёшь молодежь! (0,9"х25) (РС6411) *1/12 (шт.)</t>
  </si>
  <si>
    <t>0,9"х25</t>
  </si>
  <si>
    <t>Новогодний хоровод (0,9"х25) (РС6401) *1/12 (шт.)</t>
  </si>
  <si>
    <t>Снегопарни (0,9"х25) (РС6426) *1/9 (шт.)</t>
  </si>
  <si>
    <t>12 месяцев (0,9"х25) (СС7316) *1/6 (шт.)</t>
  </si>
  <si>
    <t>Джума Мубарак/С благословенной пятницей (0,9"х35) (ОС6414) *1/8 (шт.)</t>
  </si>
  <si>
    <t>0,9"х35</t>
  </si>
  <si>
    <t>Изабелла (0,9"х35) (РС6500) *1/8 (шт.)</t>
  </si>
  <si>
    <t>Новогодняя штучка (0,9"х49) (ОС7551) *1/4 (шт.)</t>
  </si>
  <si>
    <t>0,9"х49</t>
  </si>
  <si>
    <t>Под шампусик (0,9"х49) (РС6590) *1/4 (шт.)</t>
  </si>
  <si>
    <t>Корпоративчик (0,9"х49) (СС7320) *1/4 (шт.)</t>
  </si>
  <si>
    <t>Биг-Бэн (0,9"х100) (ОС6950) *1/2 (шт.)</t>
  </si>
  <si>
    <t>0,9"х100</t>
  </si>
  <si>
    <t>С огоньком (1,0"х10) (ОС7100) *1/16 (шт.)</t>
  </si>
  <si>
    <t>GW218-74 Red Peony (1"х12) 5 эффектов *1/18 (шт.)</t>
  </si>
  <si>
    <t>1"х12</t>
  </si>
  <si>
    <t>Полярное сияние (1,0"х12) (ОС7150) *1/12 (шт.)</t>
  </si>
  <si>
    <t>Загадай желание (1,0"х12) (C 008) *1/12 (шт.)</t>
  </si>
  <si>
    <t>Новый год! (1,0"х12) (C 006) *1/12 (шт.)</t>
  </si>
  <si>
    <t>Мишура на ура! (1"х12) (СС7369) *1/24 (шт.)</t>
  </si>
  <si>
    <t>Палитра (1"х16) (НФ7104) *1/18 (шт.) НАРОДНАЯ ЦЕНА!</t>
  </si>
  <si>
    <t>1"х16</t>
  </si>
  <si>
    <t>Небо в алмазах (1,0"х16) (Р7454) *1/8 (шт.) НАРОДНАЯ ЦЕНА!</t>
  </si>
  <si>
    <t>M1042 Sweet Dream (1"х16) *1/12 (шт.) НАРОДНАЯ ЦЕНА!</t>
  </si>
  <si>
    <t>Елочки (1"х16) (НФ7100)  *1/12 (шт.) НАРОДНАЯ ЦЕНА!</t>
  </si>
  <si>
    <t>M1041 Winnie Pooh (1"х16) *1/24 (шт.)</t>
  </si>
  <si>
    <t>Огни на ёлке (1"х16) (Р7463) *1/16 (шт.)</t>
  </si>
  <si>
    <t>Снежная королева (1"x16) (Р7350) *1/18 (шт.)</t>
  </si>
  <si>
    <t>Рождение Центавра (1,0"х16) (C 016) *1/9 (шт.)</t>
  </si>
  <si>
    <t>4х4 (1"х16) (СС7362) *1/18 (шт.)</t>
  </si>
  <si>
    <t>В новый год! (1"х16) (Р7461) *1/12 (шт.)</t>
  </si>
  <si>
    <t>Снежики (1"х16) (ЕС422) *1/12 (шт.)</t>
  </si>
  <si>
    <t>Цветик семицветик (СС) (1"х16) (СС7345) *1/12 (шт.)</t>
  </si>
  <si>
    <t>Новогодние звезды (1"х16) (СС7370) 1/18 (шт.)</t>
  </si>
  <si>
    <t>Конфетти (1"х19) (НФ7108) *1/12 (шт.) НАРОДНАЯ ЦЕНА!</t>
  </si>
  <si>
    <t>1"х19</t>
  </si>
  <si>
    <t>Шарики (1"х19) (НФ7112) *1/12 (шт.) НАРОДНАЯ ЦЕНА!</t>
  </si>
  <si>
    <t>M1051 Big Color (1"х19) *1/12 (шт.) НАРОДНАЯ ЦЕНА!</t>
  </si>
  <si>
    <t>GP510 Wonderful Performance (1"х19) 4 эффекта *1/12 (шт.) НАРОДНАЯ ЦЕНА!</t>
  </si>
  <si>
    <t>18+ (1,0"х 19) (Р7472) * 1/12 (шт.)</t>
  </si>
  <si>
    <t>Павлин-мавлин (1,0"х19) (ЕС442) *1/12 (шт.)</t>
  </si>
  <si>
    <t>Елочки-иголочки (1"х19) (Р7475) *1/12 (шт.)</t>
  </si>
  <si>
    <t>Веселые снежинки (1"х19) (СС7382) *1/12 (шт.)</t>
  </si>
  <si>
    <t>Эликсир счастья (1"х19) (СС7384) *1/12 (шт.)</t>
  </si>
  <si>
    <t>НезабудьКа! (1"х19) (СС7380) *1/12 (шт.)</t>
  </si>
  <si>
    <t>Золотые бубенцы (1"х20) (Р7485) *1/16 (шт.) НАРОДНАЯ ЦЕНА!</t>
  </si>
  <si>
    <t>1"х20</t>
  </si>
  <si>
    <t>Дедушка мороз (1,0"х20) (Р7483) *1/16 (шт.) НАРОДНАЯ ЦЕНА!</t>
  </si>
  <si>
    <t>Crazy Санта (1"х 20) (ЕС450) * 1/12 (шт.)</t>
  </si>
  <si>
    <t>Крутой вираж+фонтан (1,0"х20) (C 014) *1/12 (шт.)</t>
  </si>
  <si>
    <t>Граффити (1"х25) (НФ7124) *1/12 (шт.) НАРОДНАЯ ЦЕНА!</t>
  </si>
  <si>
    <t>1"х25</t>
  </si>
  <si>
    <t>Скоморошки (1"х25) (НФ7122) *1/6 (шт.) НАРОДНАЯ ЦЕНА!</t>
  </si>
  <si>
    <t>M1061 Rocket Launch (1"х25) *1/12 (шт.) НАРОДНАЯ ЦЕНА!</t>
  </si>
  <si>
    <t>Матрица (1"х25) (НФ7120) *1/6 (шт.) НАРОДНАЯ ЦЕНА!</t>
  </si>
  <si>
    <t>Король шутов (1,0"х25) (Р7488) *1/8 (шт.) НАРОДНАЯ ЦЕНА!</t>
  </si>
  <si>
    <t>Байкальский огонек (1"х25) (БС740) *1/6 (шт.) НАРОДНАЯ ЦЕНА!</t>
  </si>
  <si>
    <t>Королева танцпола (1,0"х 25) (ЕС464) * 1/12 (шт.)</t>
  </si>
  <si>
    <t>Поднять перископ! (1,0"х25) (Р7490) *1/12 (шт.)</t>
  </si>
  <si>
    <t>Ну Дед Мороз, погоди! (1"х25) (БС742) *1/6 (шт.)</t>
  </si>
  <si>
    <t>Дракон (1,0"х25) (C 024) *1/8 (шт.)</t>
  </si>
  <si>
    <t>Радуга (1"х25) (CL 031) *1/12 (шт.)</t>
  </si>
  <si>
    <t>Снегурочка (РФ) (1"х25) (Р7492) *1/12 (шт.)</t>
  </si>
  <si>
    <t>Новогодняя симфония (1,0х25) (СС7415) *1/6 (шт.)</t>
  </si>
  <si>
    <t>Джекпот (СС) (1"х25) (СС7412) *1/6 (шт.)</t>
  </si>
  <si>
    <t>Снежный барс (1"х25) (Р7491) *1/12 (шт.)</t>
  </si>
  <si>
    <t>Пора чудес (1,0"х36) (НФ7129) *1/6 (шт.) НАРОДНАЯ ЦЕНА!</t>
  </si>
  <si>
    <t>1"х36</t>
  </si>
  <si>
    <t>Снежная сказка (1,0"х36) (НФ7131) *1/6 (шт.) НАРОДНАЯ ЦЕНА!</t>
  </si>
  <si>
    <t>Новогоднее созвездие (1"х36) (НФ7134) *1/6 (шт.)</t>
  </si>
  <si>
    <t>Виват, салют (1,0"х36) (Р7502) *1/6 (шт.) НАРОДНАЯ ЦЕНА!</t>
  </si>
  <si>
    <t>Новогодний (НФ) (1"х36) (НФ7136) *1/8 (шт.)</t>
  </si>
  <si>
    <t>3,2,1... поехали! (1,0"х36) (БС753) *1/6 (шт.) НАРОДНАЯ ЦЕНА!</t>
  </si>
  <si>
    <t>Дискотека Новый год (1,0"х36) (ЕС478) *1/6 (шт.) НАРОДНАЯ ЦЕНА!</t>
  </si>
  <si>
    <t>Конфетти до пяти (1"х36) (БС748) *1/6 (шт.) НАРОДНАЯ ЦЕНА!</t>
  </si>
  <si>
    <t>Аллигатор (1"х36) (CL 033) *1/8 (шт.)</t>
  </si>
  <si>
    <t>Новогодний позитив (1,0"х36) (ОС7410) *1/6 (шт.)</t>
  </si>
  <si>
    <t>Командир (1,0"х36) (Р7498) *1/8 (шт.)</t>
  </si>
  <si>
    <t>Треск и блеск (1"х36) (Р7501) *1/8 (шт.)</t>
  </si>
  <si>
    <t>Империя (1"х36) (CL 035) *1/8 (шт.)</t>
  </si>
  <si>
    <t>Праздничная радость (1"х36) (СС7460) *1/6 (шт.)</t>
  </si>
  <si>
    <t>Ночь фейерверков (1"х36) (СС7459) *1/8 (шт.)</t>
  </si>
  <si>
    <t>Фортуна (1"х36) (СС7455) *1/6 (шт.)</t>
  </si>
  <si>
    <t>На новый год (1"х36) (СС7454) *1/6 (шт.)</t>
  </si>
  <si>
    <t>Залп салютов (1"х36) (СС7453) *1/6 (шт.)</t>
  </si>
  <si>
    <t>Все будет офигенно! (1,0"х40) (ОС7440) *1/4 (шт.)</t>
  </si>
  <si>
    <t>1"х40</t>
  </si>
  <si>
    <t>Жахнем (1,0"х48) (Р7515) *1/6 (шт.) НАРОДНАЯ ЦЕНА!</t>
  </si>
  <si>
    <t>1"х48</t>
  </si>
  <si>
    <t>Наполеон (1"х48) (С 135) *1/4 (шт.)</t>
  </si>
  <si>
    <t>Для реальных пацанов (1"х48) (ОС7545) *1/6 (шт.)</t>
  </si>
  <si>
    <t>Карнавал (1"х49) (НФ7144) *1/4 (шт.) НАРОДНАЯ ЦЕНА!</t>
  </si>
  <si>
    <t>1"х49</t>
  </si>
  <si>
    <t>Праздничное настроение (НФ) (1"х49) (НФ7140) *1/4 (шт.) НАРОДНАЯ ЦЕНА!</t>
  </si>
  <si>
    <t>Лесная красавица (1"х49) (БС751) *1/4 (шт.) НАРОДНАЯ ЦЕНА!</t>
  </si>
  <si>
    <t>Арбат (1"х49) (CL 036) *1/6 (шт.)</t>
  </si>
  <si>
    <t>M1081 Adrenalin (1"х49) *1/4 (шт.)</t>
  </si>
  <si>
    <t>Жжжгучий перец (1"х49) (СС7465) *1/6 (шт.)</t>
  </si>
  <si>
    <t>Король вечеринок (1"х48) (Р7514) *1/4 (шт.)</t>
  </si>
  <si>
    <t>Галактика (1"х49) (CL 038) *1/6 (шт.)</t>
  </si>
  <si>
    <t>Офицерский салют (1"х49) (CL 037) *1/6 (шт.)</t>
  </si>
  <si>
    <t>Отец-молодец (1,0"х58) (РС7410) *1/2 (шт.)</t>
  </si>
  <si>
    <t>1"х58</t>
  </si>
  <si>
    <t>СНГ: Салют НовоГодний (1,0"х58) (РС7405) *1/2 (шт.)</t>
  </si>
  <si>
    <t>СПС, салют просто сказка! (1,0"х58) (РС7400) *1/2 (шт.)</t>
  </si>
  <si>
    <t>Разбуди соседей (1"х66) (ЕС535) *1/3 (шт.)</t>
  </si>
  <si>
    <t>1"х66</t>
  </si>
  <si>
    <t xml:space="preserve">     Калибр 1,1"</t>
  </si>
  <si>
    <t>Опа! Анапа! (1,1"х14) (РС8051) *1/12 (шт.)</t>
  </si>
  <si>
    <t>1,1"х14</t>
  </si>
  <si>
    <t>Коррида (1,1"х14) (ОС8050) *1/12 (шт.)</t>
  </si>
  <si>
    <t>Лакомка (1,1"х16) (РС7065) *1/18 (шт.)</t>
  </si>
  <si>
    <t>1,1"х16</t>
  </si>
  <si>
    <t>Забавы ради (1,1"х16) (СС7550) *1/12 (шт.)</t>
  </si>
  <si>
    <t>Спутник (1,1"х16) (РС8065) *1/8 (шт.)</t>
  </si>
  <si>
    <t>Под бой курантов (1,1"х16) (СС7552) *1/12 (шт.)</t>
  </si>
  <si>
    <t>Новогодняя забава (1,1"х19) (НФ7302) *1/8 (шт.) НАРОДНАЯ ЦЕНА!</t>
  </si>
  <si>
    <t>1,1"х19</t>
  </si>
  <si>
    <t>Цветные огни (1,1"х19) (НФ7114) *1/8 (шт.) НАРОДНАЯ ЦЕНА!</t>
  </si>
  <si>
    <t>Стиляги (1,1"х19) (С 110) *1/8 (шт.) НАРОДНАЯ ЦЕНА!</t>
  </si>
  <si>
    <t>Дедморозовка (1,1"х19) (ОС7265) *1/18 (шт.) НАРОДНАЯ ЦЕНА!</t>
  </si>
  <si>
    <t>Куранты бьют (1,1"х19) (РС7078) *1/12 (шт.)</t>
  </si>
  <si>
    <t>Новогодняя белочка (1,1"х19) (РС7079) *1/12 (шт.)</t>
  </si>
  <si>
    <t>На часах ноль-ноль (1,1"х19) (ОС8222) *1/12 (шт.) НАРОДНАЯ ЦЕНА!</t>
  </si>
  <si>
    <t>Ура, Новый год! (1,1"х19) (БС745) *1/8 (шт.) НАРОДНАЯ ЦЕНА!</t>
  </si>
  <si>
    <t>Новогоднее диско (1,1"х19) (СС7561) *1/6 (шт.)</t>
  </si>
  <si>
    <t>Новогодний огонек (1,1"х19) (СС7562) *1/6 (шт.)</t>
  </si>
  <si>
    <t>Новогодняя красавица (1,1"х19) (СС7563) *1/6 (шт.)</t>
  </si>
  <si>
    <t>Ля Мур (1,1"х19) (СС7713) *1/6 (шт.)</t>
  </si>
  <si>
    <t>Звездное путешествие (1,1"х19) (СС7740) *1/8 (шт.)</t>
  </si>
  <si>
    <t>Снегурочка (СС) (1,1"х19) (СС7741) *1/8 (шт.)</t>
  </si>
  <si>
    <t>Виват Суворов (1,1"х20) (C 109) *1/8 (шт.) НАРОДНАЯ ЦЕНА!</t>
  </si>
  <si>
    <t>1,1"х20</t>
  </si>
  <si>
    <t>Кардинал (1,1"х20) (ОС8290) *1/12 (шт.) НАРОДНАЯ ЦЕНА!</t>
  </si>
  <si>
    <t>Зимний праздник (1,1"х20) (РС7111) *1/12 (шт.)</t>
  </si>
  <si>
    <t>С новым годом (1,1"х20) (РС8101) *1/12 (шт.)</t>
  </si>
  <si>
    <t>Вам подарок! (1,1"х25) (РС8170) *1/8 (шт.)</t>
  </si>
  <si>
    <t>Брызги шампанского (1,1"х25) (НФ7130) *1/6 (шт.)</t>
  </si>
  <si>
    <t>1,1"х25</t>
  </si>
  <si>
    <t>Мишки на севере (1,1"х25) (ОС7322) *1/8 (шт.) НАРОДНАЯ ЦЕНА!</t>
  </si>
  <si>
    <t>Новогодний (1,1"х25) (ОС7336) *1/8 (шт.) НАРОДНАЯ ЦЕНА!</t>
  </si>
  <si>
    <t>Московский кремль (1,1"х25) (С 112) *1/6 (шт.) НАРОДНАЯ ЦЕНА!</t>
  </si>
  <si>
    <t>Счастье улыбнулось! (1,1"х25) (ОС7334) *1/8 (шт.) НАРОДНАЯ ЦЕНА!</t>
  </si>
  <si>
    <t>Венеция (1,1"х25) (ОС8340) *1/8 (шт.)</t>
  </si>
  <si>
    <t>Для крутых девченок (1,1"х25)  (ОС8326) *1/8 (шт.)</t>
  </si>
  <si>
    <t>Кондор (1,1"х25) (ОС8350) *1/8 (шт.)</t>
  </si>
  <si>
    <t>Время чудес (1,1"х25) (РС7129) *1/8 (шт.)</t>
  </si>
  <si>
    <t>Искристая сказка (1,1"х25) (РС7125) *1/8 (шт.)</t>
  </si>
  <si>
    <t>Новогодний серпантин (1,1"х25) (РС7128) *1/8 (шт.)</t>
  </si>
  <si>
    <t>Хохлома (1,1"х25) (РС7121) *1/8 (шт.)</t>
  </si>
  <si>
    <t>Душа нараспашку (1,1"х25) (БС747) 1/6 (шт.)</t>
  </si>
  <si>
    <t>Подарок от деда Мороза (1,1"х25) (РС8181) *1/8 (шт.)</t>
  </si>
  <si>
    <t>Салют молодежи! (1,1"х25) (РС8191) *1/8 (шт.)</t>
  </si>
  <si>
    <t>Симфония огня (1,1"х25) (РС8201) *1/8 (шт.)</t>
  </si>
  <si>
    <t>Красиво и точка (1,1"х25) (ОС8320) *1/8(шт.)</t>
  </si>
  <si>
    <t>Магия ночи (1,1"х25) (СС7576) *1/6 (шт.)</t>
  </si>
  <si>
    <t>Дари радость (1,1"х28) (СС7734) *1/4 (шт.)</t>
  </si>
  <si>
    <t>1,1"х28</t>
  </si>
  <si>
    <t>Елочка красавица (1,1"х28) (СС7735) *1/4 (шт.)</t>
  </si>
  <si>
    <t>Волшебный ларец (1,1"х36) (НФ7202) *1/6 (шт.) НАРОДНАЯ ЦЕНА!</t>
  </si>
  <si>
    <t>1,1"х36</t>
  </si>
  <si>
    <t>Кругобайкалка (1,1"х36) (БС749) *1/6 (шт.) НАРОДНАЯ ЦЕНА!</t>
  </si>
  <si>
    <t>Дыхание дракона (1,1"х36) (ОС7433) *1/8 (шт.)</t>
  </si>
  <si>
    <t>Небо в алмазах (1,1"х36) (ОС7422) *1/8 (шт.)</t>
  </si>
  <si>
    <t>Калейдоскоп огней (1,1"х36) (ОС8441) *1/6 (шт.)</t>
  </si>
  <si>
    <t>Новогодние фантазии (1,1"х36) (РС8241) *1/6 (шт.)</t>
  </si>
  <si>
    <t>Морозные узоры (1,1"х36) (СС7582) *1/6 (шт.)</t>
  </si>
  <si>
    <t>Новогодняя фантазия (1,1"х48) (НФ7222) *1/4 (шт.) НАРОДНАЯ ЦЕНА!</t>
  </si>
  <si>
    <t>1,1"х48</t>
  </si>
  <si>
    <t>Встреча друзей (1,1"х48) (ОС8541) *1/6 (шт.)</t>
  </si>
  <si>
    <t>Выше только любовь (1,1"х48) (РС8380) *1/6 (шт.)</t>
  </si>
  <si>
    <t>Новогодний экспресс (1,1"х48) (СС7586) *1/4 (шт.)</t>
  </si>
  <si>
    <t>Сказочное настроение (1,1"х48) (СС7587) *1/4 (шт.)</t>
  </si>
  <si>
    <t>Гейша (1,1"х88) (ОС8810) *1/2 (шт.)</t>
  </si>
  <si>
    <t>1,1"х88</t>
  </si>
  <si>
    <t>Центурион (1,1"х99) (ОС7901) *1/2 (шт.)</t>
  </si>
  <si>
    <t>1,1"х99</t>
  </si>
  <si>
    <t>SB-13-01 Splendid World (1,2"х13) 3 эффекта  *1/10 (шт.) НАРОДНАЯ ЦЕНА!</t>
  </si>
  <si>
    <t>1,25"х13</t>
  </si>
  <si>
    <t>SB-13-02 Amaizing (1,2"х13) 3 эффекта *1/10 (шт.) НАРОДНАЯ ЦЕНА!</t>
  </si>
  <si>
    <t>Огненный букет (1,2"x16) (ОС8120) *1/12 (шт.) НАРОДНАЯ ЦЕНА!</t>
  </si>
  <si>
    <t>1,25"х16</t>
  </si>
  <si>
    <t>GP901 Amuck (1,2"х16) *1/8 (шт.)</t>
  </si>
  <si>
    <t>GP902 Chrome (1,2"х16) *1/8 (шт.)</t>
  </si>
  <si>
    <t>Сказочный (1,25"х16) (СС7708) *1/12 (шт.)</t>
  </si>
  <si>
    <t>Сочельник (1,1"х19) (ОС8226) *1/12 (шт.) НАРОДНАЯ ЦЕНА!</t>
  </si>
  <si>
    <t>1,25"х19</t>
  </si>
  <si>
    <t>SB-19-03 Love of Green (1,2"х19) 3 эффекта  *1/8 (шт.) НАРОДНАЯ ЦЕНА!</t>
  </si>
  <si>
    <t>Новогодье (1,25"х 19) (Р7595) * 1/8 (шт) НАРОДНАЯ ЦЕНА!</t>
  </si>
  <si>
    <t>Дед Морозец (1,2"х19) (НФ7207) *1/6 (шт.)</t>
  </si>
  <si>
    <t>Магия праздника (1,2"х19) (НФ7205) *1/6 (шт.)</t>
  </si>
  <si>
    <t>Пушистые снежинки (1,2"х19) (НФ7206) *1/6 (шт.)</t>
  </si>
  <si>
    <t>SB-19-02 Love of Blue (1,2"х19) 2 эффекта  *1/8 (шт.) НАРОДНАЯ ЦЕНА!</t>
  </si>
  <si>
    <t>M1251 Flower Boom (1.2"х19) *1/8 (шт.)</t>
  </si>
  <si>
    <t>M1253 Show Time (1.2"х19) *1/8 (шт.)</t>
  </si>
  <si>
    <t>M1255 City Light (1,2"х19) *1/8 (шт.)</t>
  </si>
  <si>
    <t>Мохито (1,2"х19) (СС7710) *1/6 (шт.)</t>
  </si>
  <si>
    <t>Супер Подарок (1,2"х19) (СС7721) *1/6 (шт.)</t>
  </si>
  <si>
    <t>Фрегат (1,2х19) (СС7718) *1/8 (шт.)</t>
  </si>
  <si>
    <t>Венецианский карнавал (1,2"х19) (СС7716) *1/6 (шт.)</t>
  </si>
  <si>
    <t>Тик-Так (1,25"х20) (Р7598) *1/8 (шт.)</t>
  </si>
  <si>
    <t>1,25"х20</t>
  </si>
  <si>
    <t>На каток! (1,25"х20) (ЕС651) *1/8 (шт.)</t>
  </si>
  <si>
    <t>Новогодняя шумиха РФ (1,2"х20) (ЕС650) *1/8 (шт.)</t>
  </si>
  <si>
    <t>Провокация (1,25"х24) (Р7690) *1/8 (шт.)</t>
  </si>
  <si>
    <t>1,25"х24</t>
  </si>
  <si>
    <t>Сабантуй (1,2"х25) (ОС8331) *1/8 (шт.) НАРОДНАЯ ЦЕНА!</t>
  </si>
  <si>
    <t>1,25"х25</t>
  </si>
  <si>
    <t>SB-25-03 Out Break (1,2"х25) 5 эффектов *1/4 (шт.) НАРОДНАЯ ЦЕНА!</t>
  </si>
  <si>
    <t>С НГ! (1,25"х25) (Р7740) *1/4 (шт.) НАРОДНАЯ ЦЕНА!</t>
  </si>
  <si>
    <t>SB-25-01 Fancy (1,2"х25) 4 эффекта *1/4 (шт.) НАРОДНАЯ ЦЕНА!</t>
  </si>
  <si>
    <t>SB-25-02 Shock (1,2"х25) 6 эффектов *1/4 (шт.) НАРОДНАЯ ЦЕНА!</t>
  </si>
  <si>
    <t>Ром-баба (1,25"х25) (Р7809) *1/4 (шт.)</t>
  </si>
  <si>
    <t>M1261 Golden collection (1,2"х25) *1/4 (шт.)</t>
  </si>
  <si>
    <t>Лось (1,25"х25) (РС8225) *1/4 (шт.)</t>
  </si>
  <si>
    <t>Шарики для ёлочки (1,25"х25) (СС7747) *1/6 (шт.)</t>
  </si>
  <si>
    <t>Король Тик-Тока (1,2"х30) (ОС8400) *1/4 (шт.)</t>
  </si>
  <si>
    <t>1,25"х30</t>
  </si>
  <si>
    <t>Яркое сияние (1,2х36) (НФ7230) *1/4 (шт.)</t>
  </si>
  <si>
    <t>1,25"х36</t>
  </si>
  <si>
    <t>SB-36-03 Blue Sparkling (1,2"х36) 3 эффекта  *1/4 (шт.) НАРОДНАЯ ЦЕНА!</t>
  </si>
  <si>
    <t>Елка-шоу (1,25"х36) (ЕС682) *1/6 (шт.) НАРОДНАЯ ЦЕНА!</t>
  </si>
  <si>
    <t>Мороз-Воевода (1,25"х36) (Р7830) *1/6 (шт.) НАРОДНАЯ ЦЕНА!</t>
  </si>
  <si>
    <t>SB-36-01 Surprise, Blessing (1,2"х36) 8 эффектов *1/4 (шт.) НАРОДНАЯ ЦЕНА!</t>
  </si>
  <si>
    <t>SB-36-02 Ghostly Beauty (1,2"х36) 4 эффекта  *1/4 (шт.) НАРОДНАЯ ЦЕНА!</t>
  </si>
  <si>
    <t>Леденцы (1,2"х36) (НФ7228) *1/4 (шт.)</t>
  </si>
  <si>
    <t>Горыныч Мандарыныч (1,2"х36) (БС765) *1/4 (шт.)</t>
  </si>
  <si>
    <t>По нашему (1,2"х36) (ЕС680) *1/4 (шт.)</t>
  </si>
  <si>
    <t>Красная машина (1,2"х36) (CL 052) *1/4 (шт.)</t>
  </si>
  <si>
    <t>GWM6360 Golden Leaves (1,2"х36) 5 эффектов *1/4 (шт.)</t>
  </si>
  <si>
    <t>GWM6361 Wonderful Time, Happy (1,2"х36) 6 эффектов *1/4 (шт.)</t>
  </si>
  <si>
    <t>Крестоносцы (1,2"х36) (С 034) *1/2 (шт.)</t>
  </si>
  <si>
    <t>Новогодний винегрет (1,2"х36) (СС7878) *1/4 (шт.)</t>
  </si>
  <si>
    <t>Удачи в Новом Году! (1,25"х36) (РС8299) *1/4 (шт.)</t>
  </si>
  <si>
    <t>Чистое золото (1,25"х36) (Р7846) *1/4 (шт.)</t>
  </si>
  <si>
    <t>GP513 Dazzling Naght (1,2"х40) 5 эффектов + ВЕЕР *1/3 (шт.)</t>
  </si>
  <si>
    <t>1,25"х40</t>
  </si>
  <si>
    <t>Гуляй, страна! (1,2"х41) (Р7884) *1/4 (шт.)</t>
  </si>
  <si>
    <t>1,25"х41</t>
  </si>
  <si>
    <t>Свет далеких планет (1,25"х48) (Р7903) *1/4 (шт.) НАРОДНАЯ ЦЕНА!</t>
  </si>
  <si>
    <t>1,25"х48</t>
  </si>
  <si>
    <t>Игристое настроение (1,25"х48) (Р7905) *1/4 (шт.) НАРОДНАЯ ЦЕНА!</t>
  </si>
  <si>
    <t>Салют Столичный (1,25"х48) (Р7904) *1/4 (шт.)</t>
  </si>
  <si>
    <t>ФСБ: Фейерверк-Салют-Балдеж! (1,25"х48) (РС8420) *1/2 (шт.)</t>
  </si>
  <si>
    <t>Счастья в Новом Году (1,25"х48) (РС8429) *1/2 (шт.)</t>
  </si>
  <si>
    <t>Салют по ГОСТу (1,2"х48) (РС8440) *1/2 (шт.)</t>
  </si>
  <si>
    <t>GWM5038 The Best (1,2"х49) *1/2 (шт.)</t>
  </si>
  <si>
    <t>1,25"х49</t>
  </si>
  <si>
    <t>Новый год у ворот (1,25"х60) (Р7954) *1/4 (шт.)</t>
  </si>
  <si>
    <t>1,25"х60</t>
  </si>
  <si>
    <t xml:space="preserve">     Мультикалиберные"</t>
  </si>
  <si>
    <t>В тренде (0,6"-1,0"х18) (Р8140) *1/12 (шт.)</t>
  </si>
  <si>
    <t>18</t>
  </si>
  <si>
    <t>Остров сокровищ (0,8"-1,0"х27) (C 036) *1/8 (шт.)</t>
  </si>
  <si>
    <t>27</t>
  </si>
  <si>
    <t>Пиромастер (0,8"х-1,0"х34) (C 047) *1/8 (шт.)</t>
  </si>
  <si>
    <t>34</t>
  </si>
  <si>
    <t>Необыкновенное чудо (1,0"-1,2"х38) (C 053) *1/4 (шт.)</t>
  </si>
  <si>
    <t>38</t>
  </si>
  <si>
    <t>Рубиновые звезды (1,0"-1,2"х44) (C 052) *1/4 (шт.)</t>
  </si>
  <si>
    <t>44</t>
  </si>
  <si>
    <t>Эльдорадо (1,0"-1,2"х45) (C 040) *1/4 (шт.)</t>
  </si>
  <si>
    <t>45</t>
  </si>
  <si>
    <t>Народный (0,8";1";1,2"х48) (РС9030) *1/4 (шт.)</t>
  </si>
  <si>
    <t>48</t>
  </si>
  <si>
    <t>MC118 Easter (0,8"-1"х55) 10 эффектов + веер *1/4 (шт.)</t>
  </si>
  <si>
    <t>55</t>
  </si>
  <si>
    <t>Трескучий мороз (0,6"-0,8"х105) (СС7036) *1/6 (шт.)</t>
  </si>
  <si>
    <t>105</t>
  </si>
  <si>
    <t>Радужный каскад (0,4"-1,0"х205) (СС7012) *1/2 (шт.) АКЦИЯ!!!</t>
  </si>
  <si>
    <t>205</t>
  </si>
  <si>
    <t>8. Супер-салюты</t>
  </si>
  <si>
    <t>Жар-птица (1,2"х138) (НФ7280) *1/1 (шт.)</t>
  </si>
  <si>
    <t>Рио (0,8"х108) (ОС9100) *1/2 (шт.)</t>
  </si>
  <si>
    <t>0,8"х108</t>
  </si>
  <si>
    <t>SB08-120 Wu wei (0,8"х120) *1/2 (шт.)</t>
  </si>
  <si>
    <t>Абу-Даби (0,8"х127) (ОС9200) *1/1 (шт.)</t>
  </si>
  <si>
    <t>0,8"х127</t>
  </si>
  <si>
    <t>MC133 Родная (0,8"х150) 12 эффектов *1/2 (шт.)</t>
  </si>
  <si>
    <t>Ричард (0,8"х150) (CL 027) *1/2 (шт.)</t>
  </si>
  <si>
    <t>Олимпия (0,8"х150) (CL 028) *1/2 (шт.)</t>
  </si>
  <si>
    <t>Новый год шагает (0,8"х150) (Р7362) *1/1 (шт.)</t>
  </si>
  <si>
    <t>Новогодний круиз (0,8"х160) (Р7378) *1/1 (шт.)</t>
  </si>
  <si>
    <t>0,8"х160</t>
  </si>
  <si>
    <t>Садко (0,8"х172) (НФ7060) *1/1 (шт.)</t>
  </si>
  <si>
    <t>0,8"х172</t>
  </si>
  <si>
    <t>А у нас покруче будет (0,8"х172) (БС735) *1/1 (шт.)</t>
  </si>
  <si>
    <t>Сказочная ночь (0,8"х200) (НФ7066) *1/1 (шт.)</t>
  </si>
  <si>
    <t>0,8"х200</t>
  </si>
  <si>
    <t>MC148 Дареный конь (0.8"х200) *1/2 (шт.)</t>
  </si>
  <si>
    <t>MC115 Lorem Ipsum (0,8"х200) 11 эффектов *1/2 (шт.)</t>
  </si>
  <si>
    <t>Миллион лайков (0,8"х200) (РС6700) *1/1 (шт.)</t>
  </si>
  <si>
    <t>MC146 Explosive (0,8"х250) *1/2 (шт.) НАРОДНАЯ ЦЕНА!</t>
  </si>
  <si>
    <t>0,8"х250</t>
  </si>
  <si>
    <t>Держитесь! (0,8"х 258) (Р7400) *1/1 (шт.)</t>
  </si>
  <si>
    <t>0,8"х258</t>
  </si>
  <si>
    <t>Новогодний беспредел (0,8"х399) (Р7410) *1/1 (шт.)</t>
  </si>
  <si>
    <t>0,8"х399</t>
  </si>
  <si>
    <t>Красота с гарантией (0,8"х450) (РС6800)  *1/1 (шт.)</t>
  </si>
  <si>
    <t>0,8"х450</t>
  </si>
  <si>
    <t>Новогодний маскарад (0,9"х100) (СС7324) *1/2 (шт.)</t>
  </si>
  <si>
    <t>Бахчисарай (1,0"х80) (ОС7850) *1/4 (шт.) НАРОДНАЯ ЦЕНА!</t>
  </si>
  <si>
    <t>1"х80</t>
  </si>
  <si>
    <t>АнтиСтресс Салют (1,0"х80) (РС7450) *1/1 (шт.)</t>
  </si>
  <si>
    <t>МЧС: мощный чумовой салют (1,0"х80) (РС7455) *1/1 (шт.)</t>
  </si>
  <si>
    <t>Русские витязи (1"х80) (РС7458) *1/1 (шт.)</t>
  </si>
  <si>
    <t>За сбычу мечт! (1,0"х99) (ОС7870) *1/2 (шт.)</t>
  </si>
  <si>
    <t>1"х99</t>
  </si>
  <si>
    <t>Рождение Венеры (1,0"х99) (C 139) *1/1 (шт.)</t>
  </si>
  <si>
    <t>Казачок (1"х100) (НФ7149) * 1/2 (шт.) НАРОДНАЯ ЦЕНА!</t>
  </si>
  <si>
    <t>1"х100</t>
  </si>
  <si>
    <t>С любовью (1"х100) (НФ7148) *1/1 (шт.)</t>
  </si>
  <si>
    <t>Салют да любовь (1"х100) (ЕС553) *1/2 (шт.)</t>
  </si>
  <si>
    <t>Дежавю (1"х100) (CL 041) *1/2 (шт.)</t>
  </si>
  <si>
    <t>Экспедиция (1"х100) (Р7540) *1/2 (шт.)</t>
  </si>
  <si>
    <t>Свадебный фейерверк (1,0"х120) (C 064) *1/2 (шт.)</t>
  </si>
  <si>
    <t>1"х120</t>
  </si>
  <si>
    <t>Зуброкотавр (1"х145) (СС8853) *1/1 (шт.)</t>
  </si>
  <si>
    <t>1"х145</t>
  </si>
  <si>
    <t>MC143 Extra Warm (1"х200) 11 эффектов *1/1 (шт.)</t>
  </si>
  <si>
    <t>1"х200</t>
  </si>
  <si>
    <t>Салютище (1,0"х200) (Р7551) *1/1 (шт.)</t>
  </si>
  <si>
    <t>СССР lite (1"х288) (РС7970) *1/1 (шт.) АКЦИЯ!!!</t>
  </si>
  <si>
    <t>1"х288</t>
  </si>
  <si>
    <t>Сказочная Страна (1"х300) (РС7972) *1/1 (шт.) АКЦИЯ!!!</t>
  </si>
  <si>
    <t>1"х300</t>
  </si>
  <si>
    <t>Новый год к нам мчится (1"х305) (РС7974)  *1/1 (шт.)</t>
  </si>
  <si>
    <t>1"х305</t>
  </si>
  <si>
    <t>Фейерверк на 50-летие (1,1"х80) (С 106) *1/2 (шт.)</t>
  </si>
  <si>
    <t>1,1"х80</t>
  </si>
  <si>
    <t>Зимние фантазии (1,1"х80) (НФ7242) *1/1 (шт.)</t>
  </si>
  <si>
    <t>Белый танец (1,1"х88) (РС8650) *1/2 (шт.)</t>
  </si>
  <si>
    <t>Пятый океан (1,1"х100) (РС8661) *1/2 (шт.)</t>
  </si>
  <si>
    <t>1,1"х100</t>
  </si>
  <si>
    <t>Любо, братцы, любо! (1,1"х100) (РС7525) *1/2 (шт.)</t>
  </si>
  <si>
    <t>Ой, мороз, мороз... (1,1"х100) (РС7530) *1/2 (шт.)</t>
  </si>
  <si>
    <t>Новогодний шик (1,1"х100) (СС7596) *2/1 (шт.)</t>
  </si>
  <si>
    <t>БомбиСТО (1,1"х100) (РС8888) *1/1 (шт.)</t>
  </si>
  <si>
    <t>Елочка, гори! (1,2"х49) (НФ7233) *1/2 (шт.)</t>
  </si>
  <si>
    <t>Волшебный фейерверк (1,25"х49) (Р7946) *1/2 (шт.) НАРОДНАЯ ЦЕНА!</t>
  </si>
  <si>
    <t>Дальнобойщик (1,25"х49) (Р7948) * 1/2 (шт) НАРОДНАЯ ЦЕНА!</t>
  </si>
  <si>
    <t>Амиго (1,2"х49) (CL 055) *1/2 (шт.)</t>
  </si>
  <si>
    <t>Гавайи (1,2"х49) (CL 054) *1/2 (шт.)</t>
  </si>
  <si>
    <t>Пир горой (1,1"х50) (НФ7332) *1/2 (шт.) НАРОДНАЯ ЦЕНА!</t>
  </si>
  <si>
    <t>1,25"х50</t>
  </si>
  <si>
    <t>Нон-стоп шоу (1,25"х80) (Р7988) *1/2 (шт.)</t>
  </si>
  <si>
    <t>1,25"х80</t>
  </si>
  <si>
    <t>Исполнение желаний (1,25"х80) (C 062) *1/1 (шт.)</t>
  </si>
  <si>
    <t>Куршавель (1,25"х80) (РС8630) *1/1 (шт.)</t>
  </si>
  <si>
    <t>Куршавель (1,2"х88) (РС8630) *1/1 (шт)</t>
  </si>
  <si>
    <t>1,25"х88</t>
  </si>
  <si>
    <t>Супер-пупер-ультра-мега (1,25"х90) (РС8680) *1/1 (шт.)</t>
  </si>
  <si>
    <t>1,25"х90</t>
  </si>
  <si>
    <t>Новогодище (1,25"х98) (Р8050) *1/1 (шт.)</t>
  </si>
  <si>
    <t>1,25"х98</t>
  </si>
  <si>
    <t>Папа может! (1,25х99) (Р8460) *1/2 (шт.)</t>
  </si>
  <si>
    <t>1,25"х99</t>
  </si>
  <si>
    <t>Настроение праздника (1,2"х99) (РС8835) *1/1 (шт.)</t>
  </si>
  <si>
    <t>Веселый хоровод (1,2"х100) (НФ7247) *1/1 (шт.)</t>
  </si>
  <si>
    <t>1,25"х100</t>
  </si>
  <si>
    <t>Куранты (1,2"х100) (НФ7250) *1/1 (шт.)</t>
  </si>
  <si>
    <t>Новогодняя затея (1,25"х100) (Р8475) *1/2 (шт.) НАРОДНАЯ ЦЕНА!</t>
  </si>
  <si>
    <t>Народное гуляние (1,2"х100) (НФ7252) *1/1 (шт.)</t>
  </si>
  <si>
    <t>Загадай желание (1,25"х100) (Р8479) *1/1 (шт.)</t>
  </si>
  <si>
    <t>Праздничный режим (1,25"х100) (Р8473) *1/1 (шт.)</t>
  </si>
  <si>
    <t>Вальс цветов (1,2"х100) (CL 058) *1/1 (шт.)</t>
  </si>
  <si>
    <t>Не трогай, это на Новый год! (1,25"х 100) (Р8474) * 1/1 (шт.)</t>
  </si>
  <si>
    <t>Золотой резерв (1,25"х100) (Р8477) *1/1 (шт.)</t>
  </si>
  <si>
    <t>GWM6123 Galaxis, Classic Show (1,2"х120) 7 эффектов *1/1 (шт.)</t>
  </si>
  <si>
    <t>1,25"х120</t>
  </si>
  <si>
    <t>M12120 HAPPY COMPANY (1,2"х120) *1/1 (шт.)</t>
  </si>
  <si>
    <t>Сады Семирамиды 3Д (1,2"х150) (РС8907) *1/1 (шт.)</t>
  </si>
  <si>
    <t>1,25"х150</t>
  </si>
  <si>
    <t>MC12180 Amulet (1,2"х180) *1/1 (шт.)</t>
  </si>
  <si>
    <t>1,25"х180</t>
  </si>
  <si>
    <t>Русская пиротехника (1,2"х200) (РС8960) *1/1 (шт.) АКЦИЯ!!!</t>
  </si>
  <si>
    <t>1,25"х200</t>
  </si>
  <si>
    <t>MC12200 Arabesca (1,2"х200) *1/1 (шт.) НАРОДНАЯ ЦЕНА!</t>
  </si>
  <si>
    <t>Русская пиротехника (1,2"х200) (РС8960) *1/1 (шт.)</t>
  </si>
  <si>
    <t>Федерация (1,2"х200) (РС8950) *1/1 (шт.)</t>
  </si>
  <si>
    <t>Московское время (1,2"х220) (C 087) 1/1 (шт.)</t>
  </si>
  <si>
    <t>1,25"х220</t>
  </si>
  <si>
    <t>СССР (Самый Стильный Салют России) (1,2"х288) (РС8970) *1/1 (шт.) АКЦИЯ!!!</t>
  </si>
  <si>
    <t>1,25"х288</t>
  </si>
  <si>
    <t>СССР (Самый Стильный Салют России) (1,2"х288) (РС8970) *1/1 (шт.)</t>
  </si>
  <si>
    <t>Величие державы (1,2"х300) (РС8990) *1/1 (шт.) АКЦИЯ!!!</t>
  </si>
  <si>
    <t>1,25"х300</t>
  </si>
  <si>
    <t>Величие державы (1,2"х300) (РС8990) *1/1 (шт.)</t>
  </si>
  <si>
    <t>Налог на роскошь! (1,25"х300) (РС8980) *1/1 (шт.)</t>
  </si>
  <si>
    <t>Бородино РП (1,5"х19) (РС9500) *1/4 (шт.)</t>
  </si>
  <si>
    <t>1,5"х19</t>
  </si>
  <si>
    <t>Полтава (1,5"х25) (РС9505) *1/3 (шт.)</t>
  </si>
  <si>
    <t>1,5"х25</t>
  </si>
  <si>
    <t>Фейерверк-36 (1,5"х36) (C 221) *1/2 (шт.)</t>
  </si>
  <si>
    <t>1,5"х36</t>
  </si>
  <si>
    <t>Фейерверк-49  (1,5"х 49) (C 222) *1/1 (шт.)</t>
  </si>
  <si>
    <t>1,5"х49</t>
  </si>
  <si>
    <t>Хищник (1,5"х49) (Р8628) *1/2 (шт.)</t>
  </si>
  <si>
    <t>MC150-100 Karat (1,5"х100) 8 эффектов *1/1 (шт.)</t>
  </si>
  <si>
    <t>1,5"х100</t>
  </si>
  <si>
    <t>Русский новый год! (1,8"х28) (Р8715) *1/2 (шт.)</t>
  </si>
  <si>
    <t>1,8"х28</t>
  </si>
  <si>
    <t>Битвы престолов (1,8"х36) (Р8732) *1/1 (шт.)</t>
  </si>
  <si>
    <t>1,8"х36</t>
  </si>
  <si>
    <t>V.S.O.P. (1,8"х49) (Р8740) *1/1 (шт.)</t>
  </si>
  <si>
    <t>1,8"х49</t>
  </si>
  <si>
    <t>Парад планет (2"х19) (НФ7264) *1/2 (шт.)</t>
  </si>
  <si>
    <t>2"х19</t>
  </si>
  <si>
    <t>ММС: мега мощный салют (2"х19) (РС9620) *1/2 (шт.)</t>
  </si>
  <si>
    <t>XXL (2"х19) (Р8760) *1/2 (шт.)</t>
  </si>
  <si>
    <t>Красивая жизнь (2"х25) (РС9640) *1/2 (шт.)</t>
  </si>
  <si>
    <t>2"х25</t>
  </si>
  <si>
    <t>Огонь, батарея (2,0"х25) (Р8762) *1/2 (шт.)</t>
  </si>
  <si>
    <t>Мир! Труд! Май! (2"х28) (БС785) *1/2 (шт.) НАРОДНАЯ ЦЕНА!</t>
  </si>
  <si>
    <t>2"х28</t>
  </si>
  <si>
    <t>Кузькина мать (2"х28) (Р8764) *1/2 (шт.)</t>
  </si>
  <si>
    <t>Высокий статус (2"х36) (Р8770) *1/1 (шт.)</t>
  </si>
  <si>
    <t>2"х36</t>
  </si>
  <si>
    <t>Брызги Абрау (2"х49) (РС9660) *1/1 (шт.)</t>
  </si>
  <si>
    <t>2"х49</t>
  </si>
  <si>
    <t xml:space="preserve">     Калибр 2,8"</t>
  </si>
  <si>
    <t>Булава (2,8"х16) (Р8780) *1/1 (шт.)</t>
  </si>
  <si>
    <t>2,8"х16</t>
  </si>
  <si>
    <t>Курская битва (2,75"х19) (РС9710) * 1/2 (шт)</t>
  </si>
  <si>
    <t>2,8"х19</t>
  </si>
  <si>
    <t>Петр Великий (2,75"х25) (РС9740) *1/1 (шт.)</t>
  </si>
  <si>
    <t>2,8"х25</t>
  </si>
  <si>
    <t>Взятие Берлина (2,75"х49) (РС9750) *1/1 (шт.)</t>
  </si>
  <si>
    <t>2,8"х49</t>
  </si>
  <si>
    <t xml:space="preserve">     Калибр 3"</t>
  </si>
  <si>
    <t>Московская ночь (3"х12) (Р8790) МЕГА КАЛИБР!!! *1/1 (шт.)</t>
  </si>
  <si>
    <t>3"х12</t>
  </si>
  <si>
    <t>Жаркая Ибица (0,8";1,25"х50) (Р8160) *1/2 (шт.)</t>
  </si>
  <si>
    <t>50</t>
  </si>
  <si>
    <t>Чудеса в небесах (1,2";1,8"х50) (Р8170) *1/2 (шт.)</t>
  </si>
  <si>
    <t>Мультимедийный фейерверк (1,0"-1,25"х52) (C 059) *1/2 (шт.)</t>
  </si>
  <si>
    <t>52</t>
  </si>
  <si>
    <t>Экспансия (0,8"-1,0"-1,25"х57) (C 058) *1/2 (шт.)</t>
  </si>
  <si>
    <t>57</t>
  </si>
  <si>
    <t>Сокровище пиратов (1,2"-1,5"х68) (C 066) *1/2 (шт.)</t>
  </si>
  <si>
    <t>68</t>
  </si>
  <si>
    <t>MC121 Звезда родилась (0,8"-1"-1,2"х75) 17 эффектов *1/2 (шт.)</t>
  </si>
  <si>
    <t>75</t>
  </si>
  <si>
    <t>Май ба бах (0,8",1,2"х78) (СС8810) *1/2 (шт.)</t>
  </si>
  <si>
    <t>78</t>
  </si>
  <si>
    <t>Фейерверк-80 (1,0"-1,2"х80) (C 226) *1/2 (шт.)</t>
  </si>
  <si>
    <t>80</t>
  </si>
  <si>
    <t>Мой генерал (0,8";1,2"х86) (Р8276) *1/2 (шт.)</t>
  </si>
  <si>
    <t>86</t>
  </si>
  <si>
    <t>Праздничный салют (1,2"-1,5"х86) (C 065) *1/1 (шт.)</t>
  </si>
  <si>
    <t>Кольцо всевластия (1,25"-1,8"х88) (Р8300) *1/1 (шт.)</t>
  </si>
  <si>
    <t>88</t>
  </si>
  <si>
    <t>Новогоднее счастье (1,2"-1,5"х100) (C 082) *1/1 (шт.)</t>
  </si>
  <si>
    <t>100</t>
  </si>
  <si>
    <t>MC128 Great Party (0,8-1-1,2"х102) *1/1 (шт.)</t>
  </si>
  <si>
    <t>102</t>
  </si>
  <si>
    <t>Весело встретим (0,8"-1,0"-1,4"х108) (Р8165) *1/2 (шт.)</t>
  </si>
  <si>
    <t>108</t>
  </si>
  <si>
    <t>На всю катушку (1",1,2"*116) (РС9058) *1/1 (шт.)</t>
  </si>
  <si>
    <t>116</t>
  </si>
  <si>
    <t>Подарок Деда Мороза (1,2"-1,5"х118) (С 089) *1/1 (шт.)</t>
  </si>
  <si>
    <t>118</t>
  </si>
  <si>
    <t>Салют, достойный Президента! (1,2",2"х126) (РС9070) *1/1 (шт.)</t>
  </si>
  <si>
    <t>126</t>
  </si>
  <si>
    <t>Хит сезона (0,8";1,0";1,2"х130) (РС9075) *1/1 (шт.)</t>
  </si>
  <si>
    <t>130</t>
  </si>
  <si>
    <t>Продолжение будет (1,0",1,25"х168) (Р8314) *1/1 (шт.)</t>
  </si>
  <si>
    <t>168</t>
  </si>
  <si>
    <t>Русская душа ВЕЕРА (1"-1,2-1,5"х175) (РС9230) *1/1 (шт.)</t>
  </si>
  <si>
    <t>175</t>
  </si>
  <si>
    <t>ОкеЯн счастья (0,8"-1,0"-1,2"х178) (СС8818) *1/1 (шт.)</t>
  </si>
  <si>
    <t>178</t>
  </si>
  <si>
    <t>Дерзкая роскошь (0,8", 1,25"х190) (Р8452) *1/1 (шт.)</t>
  </si>
  <si>
    <t>190</t>
  </si>
  <si>
    <t>ВечерИночка (0,8"-1,0"-1,25"-1,5"х222) (РС9236) *1/1 (шт.)</t>
  </si>
  <si>
    <t>222</t>
  </si>
  <si>
    <t>Русский мир (1,0",1,2",1,5"х228) (РС9234) *1/1 (шт.)</t>
  </si>
  <si>
    <t>228</t>
  </si>
  <si>
    <t>Явное преимущество (1,0",1,2",1,5"х228) (РС9232) *1/1 (шт.)</t>
  </si>
  <si>
    <t>Просто космос! (1",1,25"х236) (Р8376) *1/1 (шт.)</t>
  </si>
  <si>
    <t>236</t>
  </si>
  <si>
    <t>Жизнь прекрасна (0,8"-1,0"-1,2"х274) (РС9237) *1/1 (шт.)</t>
  </si>
  <si>
    <t>274</t>
  </si>
  <si>
    <t>Любовь и голуби ВЕЕРА (0,8"-1"-1,2"х288) (РС9240) *1/1 (шт.)</t>
  </si>
  <si>
    <t>288</t>
  </si>
  <si>
    <t>Русский размах (0,8",1",1,2",1,8"х300) (Р8315) *1/1 (шт.)</t>
  </si>
  <si>
    <t>300</t>
  </si>
  <si>
    <t>Горжусь Россией! (1",1,2",1,5"х308) (РС9245) *1/1 (шт.)</t>
  </si>
  <si>
    <t>308</t>
  </si>
  <si>
    <t>Дерзкая красавица (0,8"-1"х356) (СС8865) *1/1 (шт.)</t>
  </si>
  <si>
    <t>356</t>
  </si>
  <si>
    <t>Профессиональный (0,8".,1".,1,2"х578) (РС9290) *1/1 (шт.)</t>
  </si>
  <si>
    <t>578</t>
  </si>
  <si>
    <t>91. Дымы и факела</t>
  </si>
  <si>
    <t>MA0509 White Smoking Fountain Дым белый 1,75" 30 сек. *1/30/5 (шт.) АКЦИЯ!!!</t>
  </si>
  <si>
    <t>MA0511 Black Metal Дым черный 1" 60 сек. *1/40/5 (шт.)</t>
  </si>
  <si>
    <t>MA0511 Blue Smoking Fountain Дым синий 1" 60 сек. *1/40/5 (шт.)</t>
  </si>
  <si>
    <t>MA0511 Blue sky Smoking Fountain Дым голубой 1" 60 сек. *1/40/5 (шт.)</t>
  </si>
  <si>
    <t>MA0511 Crimson Smoking Fountain Дым малиновый 1" 60 сек *1/40/5 (шт.)</t>
  </si>
  <si>
    <t>MA0511 Green Smoking Fountain Дым зеленый 1" 60 сек. *1/40/5 (шт.)</t>
  </si>
  <si>
    <t>MA0511 Marsala Smoking Fountain Дым красно-коричневый 1" 60 сек. *1/40/5 (шт.)</t>
  </si>
  <si>
    <t>MA0511 Orange Smoking Fountain Дым оранжевый 1" 60 сек. *1/40/5 (шт.)</t>
  </si>
  <si>
    <t>MA0511 Purple Smoking Fountain Дым фиолетовый 1" 60 сек. *1/40/5 (шт.)</t>
  </si>
  <si>
    <t>MA0511 Red Smoking Fountain Дым красный 1" 60 сек. *1/40/5 (шт.)</t>
  </si>
  <si>
    <t>MA0511 White Smoking Fountain Дым белый 1" 60 сек. *1/40/5 (шт.)</t>
  </si>
  <si>
    <t>MA0511 Yellow Smoking Fountain Дым желтый 1" 60 сек. *1/40/5 (шт.)</t>
  </si>
  <si>
    <t>MA0513 White Smoking Fountain Дым белый 1,2" 60 сек. *1/10/5 (шт.) АКЦИЯ!!!</t>
  </si>
  <si>
    <t>MA0509 Aqua Smoking Fountain  Дым Бирюзовый 1,35" 40 сек *1/30/5 (шт.)</t>
  </si>
  <si>
    <t>MA0509 Blue Smoking Fountain Дым синий 1,35" 40 сек. *1/30/5 (шт.)</t>
  </si>
  <si>
    <t>MA0509 Green Smoking Fountain Дым зеленый 1,35" 40 сек. *1/30/5 (шт.)</t>
  </si>
  <si>
    <t>MA0509 Maroon Smoking Fountain  Дым Бордо 1,35" 40 сек *1/30/5 (шт.)</t>
  </si>
  <si>
    <t>MA0509 Orange Smoking Fountain Дым оранжевый 1,35" 40 сек. *1/30/5 (шт.)</t>
  </si>
  <si>
    <t>MA0509 Purple Smoking Fountain Дым фиолетовый 1,35" 40 сек. *1/30/5 (шт.)</t>
  </si>
  <si>
    <t>MA0509 Red Smoking Fountain  Дым красный 1,35" 40 сек *1/30/5 (шт.)</t>
  </si>
  <si>
    <t>MA0509 Tiffany Smoking Fountain  Дым Тиффани 1,35" 40 сек *1/30/5 (шт.)</t>
  </si>
  <si>
    <t>MA0509 White Smoking Fountain Дым белый 1,75" 30 сек. *1/30/5 (шт.)</t>
  </si>
  <si>
    <t>MA0509 Yellow Smoking Fountain Дым желтый 1,35" 40 сек. *1/30/5 (шт.)</t>
  </si>
  <si>
    <t>MA0512 Blue Smoking Fountain Дым синий 1" 60 сек. *1/20/5 (шт.)</t>
  </si>
  <si>
    <t>MA0512 Blue sky Smoking Fountain Дым голубой 1" 60 сек *1/20/5 (шт.)</t>
  </si>
  <si>
    <t>MA0512 Bordo Smoking Fountain Дым бордовый 1" 60 сек. *1/20/5 (шт.)</t>
  </si>
  <si>
    <t>MA0512 Green Smoking Fountain Дым зеленый 1" 60 сек. *1/20/5 (шт.)</t>
  </si>
  <si>
    <t>MA0512 Marsala Smoking Fountain Дым красно-коричневый 1" 60 сек. *1/20/5 (шт.)</t>
  </si>
  <si>
    <t>MA0512 Orange Smoking Fountain Дым оранжевый 1" 60 сек. *1/20/5 (шт.)</t>
  </si>
  <si>
    <t>MA0512 White Smoking Fountain Дым белый 1" 60 сек. *1/20/5 (шт.)</t>
  </si>
  <si>
    <t>MA0512 Yellow Smoking Fountain Дым желтый 1" 60 сек. *1/20/5 (шт.)</t>
  </si>
  <si>
    <t>Факел Дымовой оранжевый (УПЗ) (ФДО) *1/72 (шт.)</t>
  </si>
  <si>
    <t>Факел Дымовой зелёный (УПЗ) (ФДЗ) *1/72 (шт.)</t>
  </si>
  <si>
    <t>Факел Дымовой синий (УПЗ) (ФДС) *1/72 (шт.)</t>
  </si>
  <si>
    <t>Сюрприз, дым красный (девочка) (Р1768) *1/50 (шт.)</t>
  </si>
  <si>
    <t>Сюрприз, дым синий (мальчик) (Р1766) *1/50 (шт.)</t>
  </si>
  <si>
    <t>Фальшфейер для маломерных судов</t>
  </si>
  <si>
    <t>Фейерверк</t>
  </si>
  <si>
    <t>93. Пневматические хлопушки</t>
  </si>
  <si>
    <t>Хлопушка пружинная "Желаем счастья!" Голографический серпантин 11 см / 1 шт. / (Китай)  (8011A-RB-P)</t>
  </si>
  <si>
    <t>Хлопушка пружинная Блеск мини (11 см.) (8011А) (288 шт.)</t>
  </si>
  <si>
    <t>Хлопушка пружинная Блеск конфетти (16 см.) (8116В) (192 шт.)</t>
  </si>
  <si>
    <t>Пневмохлопушка (12/30 см), Яркий праздник, Конфетти фольга, Ассорти, 1 шт.  (923001)</t>
  </si>
  <si>
    <t>Хлопушка пружинная Блеск серпантин 21 см / 1 шт. /  (8021A)</t>
  </si>
  <si>
    <t>Пневмохлопушка (12/30 см), Новогоднее настроение, Прямоугольники фольга, Золото, 1 шт.  (923006)</t>
  </si>
  <si>
    <t>82N20B Пневмохлопушка (20 см.) Белое конфетти (82N20W)</t>
  </si>
  <si>
    <t>82N20B Пневмохлопушка (20 см.) Черное конфетти (82N20B)</t>
  </si>
  <si>
    <t>Пневмохлопушка (20 см.) Голубая конфетти (82N20B)</t>
  </si>
  <si>
    <t>Пневмохлопушка (20 см.) Желтое  конфетти (82N20Y)</t>
  </si>
  <si>
    <t>Пневмохлопушка (20 см.) Зеленое конфетти (82N20G)</t>
  </si>
  <si>
    <t>2500HT  Хлопушка ручная «Серпантин XL» 25 см / 1 шт. /</t>
  </si>
  <si>
    <t>8021B  Хлопушка пружинная Блеск конфетти  (21см.)</t>
  </si>
  <si>
    <t>8240BLOSSOM Пневмохлопушка (40см.) (ЦВЕТЫ металлизированные) (72 шт.)</t>
  </si>
  <si>
    <t>Пневмохлопушка (20 см.) Красное конфетти (82N20R)</t>
  </si>
  <si>
    <t>Пневмохлопушка (20 см.) Розовое конфетти (82N20P)</t>
  </si>
  <si>
    <t>AC 20см Пневмохлопушка Мальчик или Девочка blue  (6066598)</t>
  </si>
  <si>
    <t>AC 20см Пневмохлопушка Мальчик или Девочка pink  (6066604)</t>
  </si>
  <si>
    <t>Пневмохлопушка ручная Гендерная, цвет 1 25 см / 1 шт. / (Китай)  (8225-GR1)</t>
  </si>
  <si>
    <t>Пневмохлопушка ручная Гендерная, цвет 2 25 см / 1 шт. / (Китай)  (8225-GR2)</t>
  </si>
  <si>
    <t>Пневмохлопушка (12/30 см), Большого Счастья, Перья, Белый, 1 шт.  (823184)</t>
  </si>
  <si>
    <t>Пневмохлопушка (30см.) (8230) или (8230N)   пластиковая туба (72 шт.)</t>
  </si>
  <si>
    <t>Поиск ООО</t>
  </si>
  <si>
    <t>AC 20см Пневмохлопушка Динамит, серпантин Gold  (6075859)</t>
  </si>
  <si>
    <t>23151 Пневмохлопушка (12/30 см), Комикс, Праздничный взрыв, Конфетти тишью, Звезды, Ассорти, 1 шт.</t>
  </si>
  <si>
    <t>Пневмохлопушка (12/30 см), Мандаринки, Круги тишью, 1 шт.  (923004)</t>
  </si>
  <si>
    <t>CM001 Пневмохлопушка (30см.) "Конфетти-сердца" (из фольги) 1*/100 (шт.) НАРОДНАЯ ЦЕНА!</t>
  </si>
  <si>
    <t>CM002 Пневмохлопушка (30см.) "Агатовое сердце" (сердца из фольги) 1*/100 (шт.) НАРОДНАЯ ЦЕНА!</t>
  </si>
  <si>
    <t>CM003 Пневмохлопушка (30см.) "Бусинки счастья" (конфетти из фольги) 1*/100 (шт.) НАРОДНАЯ ЦЕНА!</t>
  </si>
  <si>
    <t>CM004 Пневмохлопушка (30см.) "Фиеста цвета" (прямоугольники из фольги) 1*/100 (шт.) НАРОДНАЯ ЦЕНА!</t>
  </si>
  <si>
    <t>CM005 Пневмохлопушка (30см.) "Праздничный серпантин" (серпантин из фольги) 1*/100 (шт.) НАРОДНАЯ ЦЕНА!</t>
  </si>
  <si>
    <t>CM006 Пневмохлопушка (30см.) "Деньги на ветер" (купюры из фольги) 1*/100 (шт.) НАРОДНАЯ ЦЕНА!</t>
  </si>
  <si>
    <t>CM007 Пневмохлопушка (30см.) "Бабочки" 1*/100 (шт.) НАРОДНАЯ ЦЕНА!</t>
  </si>
  <si>
    <t>CM009 Пневмохлопушка (30см.) "Конфетти" *1/100 (шт.) НАРОДНАЯ ЦЕНА!</t>
  </si>
  <si>
    <t>CM010 Пневмохлопушка (30см.) "Конфетти" (конфетти и стример из фольги) 1*/100 (шт.) НАРОДНАЯ ЦЕНА!</t>
  </si>
  <si>
    <t>CM011 Пневмохлопушка (30см.) "Конфетти-звезды" *1/100 (шт.) НАРОДНАЯ ЦЕНА!</t>
  </si>
  <si>
    <t>8230-SN-P Пневмохлопушка "Снежная нежность" с золотой печатью</t>
  </si>
  <si>
    <t>823108 Пневмохлопушка (12/30 см)  ГОЛУБИ СЕРЕБРО, 1 шт.</t>
  </si>
  <si>
    <t>Пневмохлопушка (12/30 см), Новогодняя, Елочки фольга, Ассорти, 1 шт.  (723017)</t>
  </si>
  <si>
    <t>8230-MRMS Пневмохлопушка Счастья! 30 см (золотой серпантин)</t>
  </si>
  <si>
    <t>CM008 Пневмохлопушка (30см.) "Наклейки-игрушки" 1*/100 (шт.) НАРОДНАЯ ЦЕНА!</t>
  </si>
  <si>
    <t>Пневмохлопушка (12/30 см), Гендер Пати, Сынок или Дочка?, Перья, Голубой, 1 шт.  (823186)</t>
  </si>
  <si>
    <t>Пневмохлопушка (12/30 см), Гендер Пати, Сынок или Дочка?, Перья, Розовый, 1 шт.  (823185)</t>
  </si>
  <si>
    <t>Пневмохлопушка (30см.) (8230-М) в пластиковой тубе фольг. конфетти (72 шт.)</t>
  </si>
  <si>
    <t>Пневмохлопушка (30см.) (8830 МС)  монетка на счастье золотое, серебрянное конфетти (24 шт. в уп.)</t>
  </si>
  <si>
    <t>8230RG-P Пневмохлопушка (30см)  "Сказочных мгновений" (золотое конфетти)</t>
  </si>
  <si>
    <t>850-PS Пневмохлопушка "Поздравляем!" Серебряный серпантин 50 см с серебряной  печатью</t>
  </si>
  <si>
    <t>8850-P Пневмохлопушка "Поздравляем!" Серпантин 50 см с золотой печатью  (8850-P)</t>
  </si>
  <si>
    <t>Браво</t>
  </si>
  <si>
    <t>Пневмохлопушка "Такая вечеринка!" Звезды 30 см с золотой печатью / 1 шт. /  (8230-TV-SGP)</t>
  </si>
  <si>
    <t>Пневмохлопушка (16/40 см), Деньги, Доллары и Евро, 1 шт.  (8240Money)</t>
  </si>
  <si>
    <t>Пневмохлопушка (16/40 см), Деньги, Доллары, 1 шт.  (923010)</t>
  </si>
  <si>
    <t>AC 30см Пневмохлопушка Бабочки, бумага /фольга  (6075835)</t>
  </si>
  <si>
    <t>Пневмохлопушка (30см.) (8830BW) ГОЛУБИ,бумага/фольга  в металлической тубе (24 шт. в уп.)</t>
  </si>
  <si>
    <t>Пневмохлопушка (50см.) (8850) Блеск серпантин (96 шт.)</t>
  </si>
  <si>
    <t>Пневмохлопушка (60см.) (8260 голд) в пластиковой тубе Золотое конфетти (36 шт.)</t>
  </si>
  <si>
    <t>Пневмохлопушка (60см.) (8260 сильвер) в пластиковой тубе Серебряное конфетти (36 шт.)</t>
  </si>
  <si>
    <t>Пневмохлопушка (30см.) (СС0104) (метализированные сердца)</t>
  </si>
  <si>
    <t>Пневмохлопушка (60см.) (8260)  в пластиковой тубе, конфетти (36 шт.)</t>
  </si>
  <si>
    <t>8230RB-P Пневмохлопушка (30см.) "Желаем счастья!" (голографическое конфетти)</t>
  </si>
  <si>
    <t>Пневмохлопушка (100 см) (82100-N)</t>
  </si>
  <si>
    <t>Пневмохлопушка (12/30 см), Ах, Эта Свадьба!, Круги фольга и цветы фоамиран, 1 шт.  (723011)</t>
  </si>
  <si>
    <t>Пневмохлопушка (24/60 см), Праздничный фейерверк, Металлизированная лента, Ассорти, 1 шт.  (823167)</t>
  </si>
  <si>
    <t>8260G Пневмохлопушка 60см ГОЛУБИ</t>
  </si>
  <si>
    <t>8880HG-S Пневмохлопушка "Голография" Серебряный серпантин 80 см</t>
  </si>
  <si>
    <t>8880HG-Z Пневмохлопушка "Голография"Золотой серпантин 80 см</t>
  </si>
  <si>
    <t>Пневмохлопушка (60см.) (СС0105) (метализированные сердца)</t>
  </si>
  <si>
    <t>Пневмохлопушка (40/100 см), Звездный фейерверк, Звезды фольга, Черный/Золото, Металлик, 1 шт.  (823168)</t>
  </si>
  <si>
    <t>Условия продаж</t>
  </si>
  <si>
    <t xml:space="preserve">        Оптовые цены для предпринимателей и юридических лиц действуют при покупке на сумму от 5 000 рублей !</t>
  </si>
  <si>
    <t xml:space="preserve">        При покупке  батарей салютов и супер-салютов оптовые цены действуют от общей суммы закупа 50 000 рублей</t>
  </si>
  <si>
    <t xml:space="preserve">        Для постоянных покупателей: </t>
  </si>
  <si>
    <t xml:space="preserve">                #  Накопительная система скидок</t>
  </si>
  <si>
    <t xml:space="preserve">                #  Система "виртуальный офис" для самостоятельного оформления заказа с доступом к остаткам на складах, фото и видеоматериалам</t>
  </si>
  <si>
    <t xml:space="preserve">                #  Услуга бесплатной доставки до склада заказчика</t>
  </si>
  <si>
    <t xml:space="preserve">                #  Обеспечение рекламными материалами</t>
  </si>
  <si>
    <t xml:space="preserve">                #  Индивидуальная система рассрочки платежей</t>
  </si>
  <si>
    <t xml:space="preserve">                #  Консультация опытного менеджера и профессионального пиротехника</t>
  </si>
  <si>
    <t xml:space="preserve">        Указанная информация размещена исключительно для юридических лиц и индивидуальных предпринимателей,</t>
  </si>
  <si>
    <t xml:space="preserve">        и не является публичной офертой. </t>
  </si>
  <si>
    <t>Система скидок</t>
  </si>
  <si>
    <t>Сумма оплаты с учетом скидки</t>
  </si>
  <si>
    <t>% скидки</t>
  </si>
  <si>
    <t>импортная продукция</t>
  </si>
  <si>
    <t>отечественная продукция</t>
  </si>
  <si>
    <t>от   30 000 рублей</t>
  </si>
  <si>
    <t>5</t>
  </si>
  <si>
    <t>от   50 000 рублей</t>
  </si>
  <si>
    <t>7</t>
  </si>
  <si>
    <t>от 100 000 рублей</t>
  </si>
  <si>
    <t>от 200 000 рублей</t>
  </si>
  <si>
    <t>15</t>
  </si>
  <si>
    <t>от 400 000 рублей</t>
  </si>
  <si>
    <t>20</t>
  </si>
  <si>
    <t>от 750 000 рублей</t>
  </si>
  <si>
    <t>25</t>
  </si>
  <si>
    <t>свыше 1 000 000 рублей</t>
  </si>
  <si>
    <t>30</t>
  </si>
  <si>
    <t>свыше 3 000 000 рублей</t>
  </si>
  <si>
    <t>35</t>
  </si>
  <si>
    <t>При предзаказе (независимо от суммы)</t>
  </si>
  <si>
    <t>+5%</t>
  </si>
  <si>
    <t>Дилеры</t>
  </si>
  <si>
    <t>до 55%</t>
  </si>
  <si>
    <t>Официальный дилер ТМ "Русский фейерверк", "Фейерлэнд",  "Супер Салют", "Народный фейерверк",
"Русская пиротехника", "Огненный цветок", "Flower fire", "Сигнал", "УПЗ", "ТСЗ"
и эксклюзивный поставщик ТМ "Салюты лучших коллекций", ТМ "Максэм" и ТМ "Байкал-Салют"
в Иркутской области</t>
  </si>
  <si>
    <t>Для заметок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</si>
</sst>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3" x14ac:knownFonts="1">
    <font>
      <sz val="8"/>
      <name val="Arial"/>
      <family val="2"/>
      <charset val="204"/>
    </font>
    <font>
      <b/>
      <sz val="16"/>
      <color indexed="24"/>
      <name val="Calibri"/>
      <family val="2"/>
      <charset val="204"/>
    </font>
    <font>
      <b/>
      <i/>
      <sz val="14"/>
      <name val="Calibri"/>
      <family val="2"/>
      <charset val="204"/>
    </font>
    <font>
      <b/>
      <sz val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12"/>
      <name val="Calibri"/>
      <family val="2"/>
      <charset val="204"/>
    </font>
    <font>
      <b/>
      <sz val="18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sz val="10"/>
      <color indexed="17"/>
      <name val="Arial"/>
      <family val="2"/>
      <charset val="204"/>
    </font>
    <font>
      <sz val="8"/>
      <color indexed="19"/>
      <name val="Arial"/>
      <family val="2"/>
      <charset val="204"/>
    </font>
    <font>
      <sz val="8"/>
      <color indexed="16"/>
      <name val="Arial"/>
      <family val="2"/>
      <charset val="204"/>
    </font>
    <font>
      <sz val="8"/>
      <color indexed="23"/>
      <name val="Arial"/>
      <family val="2"/>
      <charset val="204"/>
    </font>
    <font>
      <sz val="9"/>
      <name val="Arial"/>
      <family val="2"/>
      <charset val="204"/>
    </font>
    <font>
      <sz val="20"/>
      <color indexed="32"/>
      <name val="Calibri"/>
      <family val="2"/>
      <charset val="204"/>
    </font>
    <font>
      <sz val="12"/>
      <name val="Calibri"/>
      <family val="2"/>
      <charset val="204"/>
    </font>
    <font>
      <i/>
      <sz val="12"/>
      <color indexed="10"/>
      <name val="Calibri"/>
      <family val="2"/>
      <charset val="204"/>
    </font>
    <font>
      <b/>
      <sz val="11"/>
      <name val="Calibri"/>
      <family val="2"/>
      <charset val="204"/>
    </font>
    <font>
      <sz val="11"/>
      <name val="Calibri"/>
      <family val="2"/>
      <charset val="204"/>
    </font>
    <font>
      <b/>
      <sz val="11"/>
      <color indexed="32"/>
      <name val="Calibri"/>
      <family val="2"/>
      <charset val="204"/>
    </font>
    <font>
      <b/>
      <sz val="11"/>
      <color indexed="16"/>
      <name val="Calibri"/>
      <family val="2"/>
      <charset val="204"/>
    </font>
    <font>
      <b/>
      <sz val="16"/>
      <color rgb="FF538ED5"/>
      <name val="Calibri"/>
      <family val="2"/>
      <charset val="204"/>
    </font>
    <font>
      <b/>
      <sz val="18"/>
      <color rgb="FFFFFFFF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4F6228"/>
      <name val="Arial"/>
      <family val="2"/>
      <charset val="204"/>
    </font>
    <font>
      <sz val="10"/>
      <color rgb="FF1F497D"/>
      <name val="Arial"/>
      <family val="2"/>
      <charset val="204"/>
    </font>
    <font>
      <sz val="10"/>
      <color rgb="FF974807"/>
      <name val="Arial"/>
      <family val="2"/>
      <charset val="204"/>
    </font>
    <font>
      <sz val="10"/>
      <color rgb="FFFFFFFF"/>
      <name val="Arial"/>
      <family val="2"/>
      <charset val="204"/>
    </font>
    <font>
      <sz val="18"/>
      <color rgb="FF538ED5"/>
      <name val="Arial"/>
      <family val="2"/>
      <charset val="204"/>
    </font>
    <font>
      <sz val="8"/>
      <color rgb="FF974807"/>
      <name val="Arial"/>
      <family val="2"/>
      <charset val="204"/>
    </font>
    <font>
      <sz val="9"/>
      <color rgb="FF974807"/>
      <name val="Arial"/>
      <family val="2"/>
      <charset val="204"/>
    </font>
    <font>
      <sz val="8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8"/>
      <color rgb="FF4F6228"/>
      <name val="Arial"/>
      <family val="2"/>
      <charset val="204"/>
    </font>
    <font>
      <sz val="9"/>
      <color rgb="FF4F6228"/>
      <name val="Arial"/>
      <family val="2"/>
      <charset val="204"/>
    </font>
    <font>
      <sz val="8"/>
      <color rgb="FF1F497D"/>
      <name val="Arial"/>
      <family val="2"/>
      <charset val="204"/>
    </font>
    <font>
      <sz val="9"/>
      <color rgb="FF1F497D"/>
      <name val="Arial"/>
      <family val="2"/>
      <charset val="204"/>
    </font>
    <font>
      <sz val="16"/>
      <color rgb="FF538ED5"/>
      <name val="Arial"/>
      <family val="2"/>
      <charset val="204"/>
    </font>
    <font>
      <sz val="8"/>
      <color rgb="FF538ED5"/>
      <name val="Arial"/>
      <family val="2"/>
      <charset val="204"/>
    </font>
    <font>
      <sz val="8"/>
      <color rgb="FF538ED5"/>
      <name val="Calibri"/>
      <family val="2"/>
      <charset val="204"/>
    </font>
    <font>
      <sz val="20"/>
      <color rgb="FF538ED5"/>
      <name val="Calibri"/>
      <family val="2"/>
      <charset val="204"/>
    </font>
    <font>
      <sz val="11"/>
      <color rgb="FF00B050"/>
      <name val="Calibri"/>
      <family val="2"/>
      <charset val="204"/>
    </font>
    <font>
      <sz val="8"/>
      <color rgb="FF00B050"/>
      <name val="Arial"/>
      <family val="2"/>
      <charset val="204"/>
    </font>
    <font>
      <b/>
      <sz val="11"/>
      <color rgb="FF538ED5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538ED5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rgb="FFCCFFCC"/>
      </left>
      <right style="thin">
        <color rgb="FFCCFFCC"/>
      </right>
      <top style="thin">
        <color rgb="FFCCFFCC"/>
      </top>
      <bottom/>
      <diagonal/>
    </border>
    <border>
      <left style="thin">
        <color rgb="FFB6DDE8"/>
      </left>
      <right style="thin">
        <color rgb="FFB6DDE8"/>
      </right>
      <top style="thin">
        <color rgb="FFB6DDE8"/>
      </top>
      <bottom/>
      <diagonal/>
    </border>
    <border>
      <left style="thin">
        <color rgb="FFFDE9D9"/>
      </left>
      <right style="thin">
        <color rgb="FFFDE9D9"/>
      </right>
      <top style="thin">
        <color rgb="FFFDE9D9"/>
      </top>
      <bottom style="thin">
        <color rgb="FFFDE9D9"/>
      </bottom>
      <diagonal/>
    </border>
  </borders>
  <cellStyleXfs count="1">
    <xf numFmtId="0" fontId="0" fillId="0" borderId="0">
      <alignment horizontal="left"/>
    </xf>
  </cellStyleXfs>
  <cellXfs count="120">
    <xf numFmtId="0" fontId="0" fillId="0" borderId="0" xfId="0" applyAlignment="1"/>
    <xf numFmtId="0" fontId="0" fillId="2" borderId="1" xfId="0" applyFill="1" applyBorder="1" applyAlignment="1"/>
    <xf numFmtId="0" fontId="0" fillId="3" borderId="2" xfId="0" applyFill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/>
    <xf numFmtId="0" fontId="5" fillId="3" borderId="2" xfId="0" applyFont="1" applyFill="1" applyBorder="1" applyAlignment="1"/>
    <xf numFmtId="0" fontId="11" fillId="3" borderId="2" xfId="0" applyFont="1" applyFill="1" applyBorder="1" applyAlignment="1"/>
    <xf numFmtId="0" fontId="0" fillId="3" borderId="3" xfId="0" applyFill="1" applyBorder="1" applyAlignment="1"/>
    <xf numFmtId="0" fontId="0" fillId="2" borderId="1" xfId="0" applyFill="1" applyBorder="1" applyAlignment="1">
      <alignment wrapText="1"/>
    </xf>
    <xf numFmtId="0" fontId="0" fillId="3" borderId="2" xfId="0" applyFill="1" applyBorder="1" applyAlignment="1">
      <alignment wrapText="1"/>
    </xf>
    <xf numFmtId="0" fontId="12" fillId="3" borderId="4" xfId="0" applyFont="1" applyFill="1" applyBorder="1" applyAlignment="1">
      <alignment wrapText="1"/>
    </xf>
    <xf numFmtId="0" fontId="0" fillId="3" borderId="5" xfId="0" applyFill="1" applyBorder="1" applyAlignment="1"/>
    <xf numFmtId="0" fontId="0" fillId="3" borderId="6" xfId="0" applyFill="1" applyBorder="1" applyAlignment="1"/>
    <xf numFmtId="0" fontId="0" fillId="3" borderId="7" xfId="0" applyFill="1" applyBorder="1" applyAlignment="1"/>
    <xf numFmtId="0" fontId="0" fillId="3" borderId="0" xfId="0" applyFill="1" applyBorder="1" applyAlignment="1"/>
    <xf numFmtId="0" fontId="14" fillId="3" borderId="8" xfId="0" applyFont="1" applyFill="1" applyBorder="1" applyAlignment="1">
      <alignment horizontal="left"/>
    </xf>
    <xf numFmtId="0" fontId="0" fillId="3" borderId="9" xfId="0" applyFill="1" applyBorder="1" applyAlignment="1"/>
    <xf numFmtId="0" fontId="0" fillId="3" borderId="8" xfId="0" applyFill="1" applyBorder="1" applyAlignment="1"/>
    <xf numFmtId="0" fontId="0" fillId="3" borderId="8" xfId="0" applyFill="1" applyBorder="1" applyAlignment="1">
      <alignment horizontal="center"/>
    </xf>
    <xf numFmtId="0" fontId="15" fillId="3" borderId="8" xfId="0" applyFont="1" applyFill="1" applyBorder="1" applyAlignment="1"/>
    <xf numFmtId="0" fontId="0" fillId="3" borderId="10" xfId="0" applyFill="1" applyBorder="1" applyAlignment="1"/>
    <xf numFmtId="0" fontId="0" fillId="3" borderId="11" xfId="0" applyFill="1" applyBorder="1" applyAlignment="1"/>
    <xf numFmtId="0" fontId="0" fillId="3" borderId="12" xfId="0" applyFill="1" applyBorder="1" applyAlignment="1"/>
    <xf numFmtId="0" fontId="16" fillId="3" borderId="8" xfId="0" applyFont="1" applyFill="1" applyBorder="1" applyAlignment="1">
      <alignment horizontal="right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1" xfId="0" applyFont="1" applyFill="1" applyBorder="1" applyAlignment="1"/>
    <xf numFmtId="0" fontId="16" fillId="3" borderId="13" xfId="0" applyFont="1" applyFill="1" applyBorder="1" applyAlignment="1">
      <alignment horizontal="center" vertical="center"/>
    </xf>
    <xf numFmtId="0" fontId="16" fillId="3" borderId="13" xfId="0" applyFont="1" applyFill="1" applyBorder="1" applyAlignment="1"/>
    <xf numFmtId="0" fontId="17" fillId="3" borderId="8" xfId="0" applyFont="1" applyFill="1" applyBorder="1" applyAlignment="1">
      <alignment horizontal="right"/>
    </xf>
    <xf numFmtId="0" fontId="18" fillId="3" borderId="13" xfId="0" applyFont="1" applyFill="1" applyBorder="1" applyAlignment="1">
      <alignment horizontal="center" vertical="center"/>
    </xf>
    <xf numFmtId="0" fontId="16" fillId="3" borderId="0" xfId="0" applyFont="1" applyFill="1" applyBorder="1" applyAlignment="1"/>
    <xf numFmtId="0" fontId="17" fillId="3" borderId="8" xfId="0" applyFont="1" applyFill="1" applyBorder="1" applyAlignment="1">
      <alignment horizontal="right" vertical="center"/>
    </xf>
    <xf numFmtId="0" fontId="19" fillId="3" borderId="2" xfId="0" applyFont="1" applyFill="1" applyBorder="1" applyAlignment="1">
      <alignment horizontal="center" vertical="center"/>
    </xf>
    <xf numFmtId="0" fontId="19" fillId="3" borderId="0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/>
    <xf numFmtId="0" fontId="0" fillId="3" borderId="15" xfId="0" applyFill="1" applyBorder="1" applyAlignment="1"/>
    <xf numFmtId="0" fontId="4" fillId="3" borderId="16" xfId="0" applyFont="1" applyFill="1" applyBorder="1" applyAlignment="1"/>
    <xf numFmtId="0" fontId="4" fillId="3" borderId="17" xfId="0" applyFont="1" applyFill="1" applyBorder="1" applyAlignment="1"/>
    <xf numFmtId="0" fontId="4" fillId="4" borderId="21" xfId="0" applyFont="1" applyFill="1" applyBorder="1" applyAlignment="1"/>
    <xf numFmtId="0" fontId="0" fillId="3" borderId="4" xfId="0" applyFill="1" applyBorder="1" applyAlignment="1"/>
    <xf numFmtId="0" fontId="8" fillId="3" borderId="15" xfId="0" applyFont="1" applyFill="1" applyBorder="1" applyAlignment="1">
      <alignment vertical="center"/>
    </xf>
    <xf numFmtId="0" fontId="0" fillId="3" borderId="16" xfId="0" applyFill="1" applyBorder="1" applyAlignment="1"/>
    <xf numFmtId="0" fontId="0" fillId="3" borderId="17" xfId="0" applyFill="1" applyBorder="1" applyAlignment="1"/>
    <xf numFmtId="0" fontId="9" fillId="3" borderId="15" xfId="0" applyFont="1" applyFill="1" applyBorder="1" applyAlignment="1"/>
    <xf numFmtId="0" fontId="23" fillId="5" borderId="22" xfId="0" applyFont="1" applyFill="1" applyBorder="1" applyAlignment="1">
      <alignment vertical="center"/>
    </xf>
    <xf numFmtId="0" fontId="8" fillId="5" borderId="22" xfId="0" applyFont="1" applyFill="1" applyBorder="1" applyAlignment="1">
      <alignment vertical="center"/>
    </xf>
    <xf numFmtId="0" fontId="0" fillId="5" borderId="22" xfId="0" applyFill="1" applyBorder="1" applyAlignment="1"/>
    <xf numFmtId="0" fontId="10" fillId="3" borderId="15" xfId="0" applyFont="1" applyFill="1" applyBorder="1" applyAlignment="1"/>
    <xf numFmtId="0" fontId="24" fillId="6" borderId="23" xfId="0" applyFont="1" applyFill="1" applyBorder="1" applyAlignment="1">
      <alignment vertical="center"/>
    </xf>
    <xf numFmtId="0" fontId="9" fillId="6" borderId="23" xfId="0" applyFont="1" applyFill="1" applyBorder="1" applyAlignment="1"/>
    <xf numFmtId="0" fontId="0" fillId="6" borderId="23" xfId="0" applyFill="1" applyBorder="1" applyAlignment="1"/>
    <xf numFmtId="0" fontId="10" fillId="7" borderId="24" xfId="0" applyFont="1" applyFill="1" applyBorder="1" applyAlignment="1"/>
    <xf numFmtId="0" fontId="0" fillId="7" borderId="24" xfId="0" applyFill="1" applyBorder="1" applyAlignment="1"/>
    <xf numFmtId="0" fontId="25" fillId="7" borderId="24" xfId="0" applyFont="1" applyFill="1" applyBorder="1" applyAlignment="1">
      <alignment vertical="center"/>
    </xf>
    <xf numFmtId="0" fontId="26" fillId="8" borderId="9" xfId="0" applyFont="1" applyFill="1" applyBorder="1" applyAlignment="1">
      <alignment horizontal="center" vertical="center"/>
    </xf>
    <xf numFmtId="0" fontId="26" fillId="8" borderId="9" xfId="0" applyFont="1" applyFill="1" applyBorder="1" applyAlignment="1">
      <alignment horizontal="center" vertical="center" wrapText="1"/>
    </xf>
    <xf numFmtId="0" fontId="26" fillId="8" borderId="18" xfId="0" applyFont="1" applyFill="1" applyBorder="1" applyAlignment="1">
      <alignment horizontal="center" vertical="center" wrapText="1"/>
    </xf>
    <xf numFmtId="0" fontId="26" fillId="8" borderId="8" xfId="0" applyFont="1" applyFill="1" applyBorder="1" applyAlignment="1">
      <alignment horizontal="center" vertical="center" wrapText="1"/>
    </xf>
    <xf numFmtId="0" fontId="27" fillId="9" borderId="19" xfId="0" applyFont="1" applyFill="1" applyBorder="1" applyAlignment="1">
      <alignment horizontal="left" vertical="center"/>
    </xf>
    <xf numFmtId="0" fontId="27" fillId="9" borderId="13" xfId="0" applyFont="1" applyFill="1" applyBorder="1" applyAlignment="1">
      <alignment horizontal="left" vertical="center"/>
    </xf>
    <xf numFmtId="0" fontId="28" fillId="7" borderId="1" xfId="0" applyFont="1" applyFill="1" applyBorder="1" applyAlignment="1">
      <alignment horizontal="center" vertical="center" wrapText="1"/>
    </xf>
    <xf numFmtId="0" fontId="29" fillId="7" borderId="1" xfId="0" applyFont="1" applyFill="1" applyBorder="1" applyAlignment="1">
      <alignment horizontal="left" vertical="center" wrapText="1"/>
    </xf>
    <xf numFmtId="2" fontId="29" fillId="7" borderId="1" xfId="0" applyNumberFormat="1" applyFont="1" applyFill="1" applyBorder="1" applyAlignment="1">
      <alignment horizontal="right" vertical="center" wrapText="1"/>
    </xf>
    <xf numFmtId="0" fontId="29" fillId="7" borderId="1" xfId="0" applyFont="1" applyFill="1" applyBorder="1" applyAlignment="1">
      <alignment horizontal="right" vertical="center" wrapText="1"/>
    </xf>
    <xf numFmtId="0" fontId="28" fillId="7" borderId="20" xfId="0" applyFont="1" applyFill="1" applyBorder="1" applyAlignment="1">
      <alignment horizontal="center" vertical="center" wrapText="1"/>
    </xf>
    <xf numFmtId="4" fontId="29" fillId="7" borderId="1" xfId="0" applyNumberFormat="1" applyFont="1" applyFill="1" applyBorder="1" applyAlignment="1">
      <alignment horizontal="right" vertical="center" wrapText="1"/>
    </xf>
    <xf numFmtId="0" fontId="30" fillId="9" borderId="1" xfId="0" applyFont="1" applyFill="1" applyBorder="1" applyAlignment="1">
      <alignment horizontal="center" vertical="center" wrapText="1"/>
    </xf>
    <xf numFmtId="0" fontId="31" fillId="9" borderId="1" xfId="0" applyFont="1" applyFill="1" applyBorder="1" applyAlignment="1">
      <alignment horizontal="left" vertical="center" wrapText="1"/>
    </xf>
    <xf numFmtId="2" fontId="31" fillId="9" borderId="1" xfId="0" applyNumberFormat="1" applyFont="1" applyFill="1" applyBorder="1" applyAlignment="1">
      <alignment horizontal="right" vertical="center" wrapText="1"/>
    </xf>
    <xf numFmtId="0" fontId="31" fillId="9" borderId="1" xfId="0" applyFont="1" applyFill="1" applyBorder="1" applyAlignment="1">
      <alignment horizontal="right" vertical="center" wrapText="1"/>
    </xf>
    <xf numFmtId="0" fontId="30" fillId="9" borderId="20" xfId="0" applyFont="1" applyFill="1" applyBorder="1" applyAlignment="1">
      <alignment horizontal="center" vertical="center" wrapText="1"/>
    </xf>
    <xf numFmtId="4" fontId="31" fillId="9" borderId="1" xfId="0" applyNumberFormat="1" applyFont="1" applyFill="1" applyBorder="1" applyAlignment="1">
      <alignment horizontal="right" vertical="center" wrapText="1"/>
    </xf>
    <xf numFmtId="0" fontId="32" fillId="5" borderId="1" xfId="0" applyFont="1" applyFill="1" applyBorder="1" applyAlignment="1">
      <alignment horizontal="center" vertical="center" wrapText="1"/>
    </xf>
    <xf numFmtId="0" fontId="33" fillId="5" borderId="1" xfId="0" applyFont="1" applyFill="1" applyBorder="1" applyAlignment="1">
      <alignment horizontal="left" vertical="center" wrapText="1"/>
    </xf>
    <xf numFmtId="2" fontId="33" fillId="5" borderId="1" xfId="0" applyNumberFormat="1" applyFont="1" applyFill="1" applyBorder="1" applyAlignment="1">
      <alignment horizontal="right" vertical="center" wrapText="1"/>
    </xf>
    <xf numFmtId="0" fontId="33" fillId="5" borderId="1" xfId="0" applyFont="1" applyFill="1" applyBorder="1" applyAlignment="1">
      <alignment horizontal="right" vertical="center" wrapText="1"/>
    </xf>
    <xf numFmtId="0" fontId="32" fillId="5" borderId="20" xfId="0" applyFont="1" applyFill="1" applyBorder="1" applyAlignment="1">
      <alignment horizontal="center" vertical="center" wrapText="1"/>
    </xf>
    <xf numFmtId="4" fontId="33" fillId="5" borderId="1" xfId="0" applyNumberFormat="1" applyFont="1" applyFill="1" applyBorder="1" applyAlignment="1">
      <alignment horizontal="right" vertical="center" wrapText="1"/>
    </xf>
    <xf numFmtId="0" fontId="34" fillId="6" borderId="1" xfId="0" applyFont="1" applyFill="1" applyBorder="1" applyAlignment="1">
      <alignment horizontal="center" vertical="center" wrapText="1"/>
    </xf>
    <xf numFmtId="0" fontId="35" fillId="6" borderId="1" xfId="0" applyFont="1" applyFill="1" applyBorder="1" applyAlignment="1">
      <alignment horizontal="left" vertical="center" wrapText="1"/>
    </xf>
    <xf numFmtId="2" fontId="35" fillId="6" borderId="1" xfId="0" applyNumberFormat="1" applyFont="1" applyFill="1" applyBorder="1" applyAlignment="1">
      <alignment horizontal="right" vertical="center" wrapText="1"/>
    </xf>
    <xf numFmtId="0" fontId="35" fillId="6" borderId="1" xfId="0" applyFont="1" applyFill="1" applyBorder="1" applyAlignment="1">
      <alignment horizontal="right" vertical="center" wrapText="1"/>
    </xf>
    <xf numFmtId="0" fontId="34" fillId="6" borderId="20" xfId="0" applyFont="1" applyFill="1" applyBorder="1" applyAlignment="1">
      <alignment horizontal="center" vertical="center" wrapText="1"/>
    </xf>
    <xf numFmtId="4" fontId="35" fillId="6" borderId="1" xfId="0" applyNumberFormat="1" applyFont="1" applyFill="1" applyBorder="1" applyAlignment="1">
      <alignment horizontal="right" vertical="center" wrapText="1"/>
    </xf>
    <xf numFmtId="0" fontId="36" fillId="9" borderId="2" xfId="0" applyFont="1" applyFill="1" applyBorder="1" applyAlignment="1">
      <alignment vertical="center"/>
    </xf>
    <xf numFmtId="0" fontId="36" fillId="9" borderId="2" xfId="0" applyFont="1" applyFill="1" applyBorder="1" applyAlignment="1">
      <alignment wrapText="1"/>
    </xf>
    <xf numFmtId="0" fontId="37" fillId="9" borderId="2" xfId="0" applyFont="1" applyFill="1" applyBorder="1" applyAlignment="1">
      <alignment wrapText="1"/>
    </xf>
    <xf numFmtId="0" fontId="36" fillId="9" borderId="2" xfId="0" applyFont="1" applyFill="1" applyBorder="1" applyAlignment="1">
      <alignment horizontal="center" vertical="center" wrapText="1"/>
    </xf>
    <xf numFmtId="4" fontId="3" fillId="3" borderId="2" xfId="0" applyNumberFormat="1" applyFont="1" applyFill="1" applyBorder="1" applyAlignment="1">
      <alignment horizontal="right" vertical="top"/>
    </xf>
    <xf numFmtId="0" fontId="38" fillId="9" borderId="2" xfId="0" applyFont="1" applyFill="1" applyBorder="1" applyAlignment="1"/>
    <xf numFmtId="0" fontId="40" fillId="9" borderId="8" xfId="0" applyFont="1" applyFill="1" applyBorder="1" applyAlignment="1"/>
    <xf numFmtId="0" fontId="41" fillId="9" borderId="2" xfId="0" applyFont="1" applyFill="1" applyBorder="1" applyAlignment="1"/>
    <xf numFmtId="0" fontId="41" fillId="9" borderId="9" xfId="0" applyFont="1" applyFill="1" applyBorder="1" applyAlignment="1"/>
    <xf numFmtId="0" fontId="29" fillId="7" borderId="19" xfId="0" applyFont="1" applyFill="1" applyBorder="1" applyAlignment="1">
      <alignment vertical="center"/>
    </xf>
    <xf numFmtId="0" fontId="31" fillId="9" borderId="19" xfId="0" applyFont="1" applyFill="1" applyBorder="1" applyAlignment="1">
      <alignment vertical="center"/>
    </xf>
    <xf numFmtId="0" fontId="33" fillId="5" borderId="19" xfId="0" applyFont="1" applyFill="1" applyBorder="1" applyAlignment="1">
      <alignment vertical="center"/>
    </xf>
    <xf numFmtId="0" fontId="35" fillId="6" borderId="19" xfId="0" applyFont="1" applyFill="1" applyBorder="1" applyAlignment="1">
      <alignment vertical="center"/>
    </xf>
    <xf numFmtId="0" fontId="26" fillId="8" borderId="18" xfId="0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left" vertical="center"/>
    </xf>
    <xf numFmtId="0" fontId="31" fillId="9" borderId="1" xfId="0" applyFont="1" applyFill="1" applyBorder="1" applyAlignment="1">
      <alignment horizontal="left" vertical="center"/>
    </xf>
    <xf numFmtId="0" fontId="33" fillId="5" borderId="1" xfId="0" applyFont="1" applyFill="1" applyBorder="1" applyAlignment="1">
      <alignment horizontal="left" vertical="center"/>
    </xf>
    <xf numFmtId="0" fontId="35" fillId="6" borderId="1" xfId="0" applyFont="1" applyFill="1" applyBorder="1" applyAlignment="1">
      <alignment horizontal="left" vertical="center"/>
    </xf>
    <xf numFmtId="0" fontId="36" fillId="9" borderId="2" xfId="0" applyFont="1" applyFill="1" applyBorder="1" applyAlignment="1"/>
    <xf numFmtId="0" fontId="42" fillId="9" borderId="13" xfId="0" applyFont="1" applyFill="1" applyBorder="1" applyAlignment="1">
      <alignment horizontal="center" vertical="center"/>
    </xf>
    <xf numFmtId="0" fontId="27" fillId="9" borderId="20" xfId="0" applyFont="1" applyFill="1" applyBorder="1" applyAlignment="1">
      <alignment horizontal="left" vertical="center"/>
    </xf>
    <xf numFmtId="0" fontId="39" fillId="9" borderId="14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6" fillId="3" borderId="11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21" fillId="4" borderId="21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22" fillId="4" borderId="21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26" fillId="8" borderId="18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808000"/>
      <rgbColor rgb="00000080"/>
      <rgbColor rgb="00800080"/>
      <rgbColor rgb="00008080"/>
      <rgbColor rgb="00808080"/>
      <rgbColor rgb="00C0C0C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CFFF"/>
      <rgbColor rgb="0069FFFF"/>
      <rgbColor rgb="00E0FFE0"/>
      <rgbColor rgb="00DD9CB3"/>
      <rgbColor rgb="00B38FEE"/>
      <rgbColor rgb="002A6FF9"/>
      <rgbColor rgb="003FB8CD"/>
      <rgbColor rgb="00488436"/>
      <rgbColor rgb="00958C41"/>
      <rgbColor rgb="008E5E42"/>
      <rgbColor rgb="00A0627A"/>
      <rgbColor rgb="00624FAC"/>
      <rgbColor rgb="001D2FBE"/>
      <rgbColor rgb="00286676"/>
      <rgbColor rgb="00004500"/>
      <rgbColor rgb="00453E01"/>
      <rgbColor rgb="006A2813"/>
      <rgbColor rgb="0085396A"/>
      <rgbColor rgb="004A3285"/>
      <rgbColor rgb="00C0DCC0"/>
      <rgbColor rgb="00A6CAF0"/>
      <rgbColor rgb="00800000"/>
      <rgbColor rgb="00008000"/>
      <rgbColor rgb="00000080"/>
      <rgbColor rgb="00808000"/>
      <rgbColor rgb="00800080"/>
      <rgbColor rgb="00008080"/>
      <rgbColor rgb="00808080"/>
      <rgbColor rgb="00FFFBF0"/>
      <rgbColor rgb="00A0A0A4"/>
      <rgbColor rgb="00313900"/>
      <rgbColor rgb="00D9853E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428625</xdr:rowOff>
    </xdr:from>
    <xdr:to>
      <xdr:col>3</xdr:col>
      <xdr:colOff>9525</xdr:colOff>
      <xdr:row>1</xdr:row>
      <xdr:rowOff>1162050</xdr:rowOff>
    </xdr:to>
    <xdr:pic>
      <xdr:nvPicPr>
        <xdr:cNvPr id="1027" name="Рисунок 1">
          <a:extLst>
            <a:ext uri="{FF2B5EF4-FFF2-40B4-BE49-F238E27FC236}">
              <a16:creationId xmlns:a16="http://schemas.microsoft.com/office/drawing/2014/main" id="{9353C76F-B6A9-4049-A6A4-16E320648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723900"/>
          <a:ext cx="40862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1238"/>
  <sheetViews>
    <sheetView tabSelected="1" zoomScale="115" zoomScaleNormal="115" workbookViewId="0">
      <selection activeCell="C3" sqref="C3:J3"/>
    </sheetView>
  </sheetViews>
  <sheetFormatPr defaultColWidth="0" defaultRowHeight="11.25" x14ac:dyDescent="0.2"/>
  <cols>
    <col min="1" max="1" width="4.6640625" style="1" customWidth="1"/>
    <col min="2" max="2" width="5.83203125" style="1" customWidth="1"/>
    <col min="3" max="3" width="71.33203125" style="1" customWidth="1"/>
    <col min="4" max="4" width="11.6640625" style="1" customWidth="1"/>
    <col min="5" max="5" width="20.1640625" style="1" customWidth="1"/>
    <col min="6" max="6" width="14" style="1" customWidth="1"/>
    <col min="7" max="7" width="6.83203125" style="1" customWidth="1"/>
    <col min="8" max="8" width="16.33203125" style="1" customWidth="1"/>
    <col min="9" max="9" width="12.33203125" style="1" customWidth="1"/>
    <col min="10" max="10" width="14.6640625" style="1" customWidth="1"/>
    <col min="11" max="11" width="17.33203125" style="1" customWidth="1"/>
    <col min="12" max="12" width="4.6640625" style="1" customWidth="1"/>
    <col min="13" max="13" width="10.33203125" style="1" customWidth="1"/>
    <col min="14" max="255" width="10.33203125" style="1" hidden="1" customWidth="1"/>
    <col min="256" max="16384" width="10.33203125" hidden="1"/>
  </cols>
  <sheetData>
    <row r="1" spans="2:12" s="1" customFormat="1" ht="23.25" customHeight="1" x14ac:dyDescent="0.2"/>
    <row r="2" spans="2:12" s="1" customFormat="1" ht="114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2" s="1" customFormat="1" ht="90" customHeight="1" x14ac:dyDescent="0.2">
      <c r="B3" s="2"/>
      <c r="C3" s="113" t="s">
        <v>1484</v>
      </c>
      <c r="D3" s="114"/>
      <c r="E3" s="114"/>
      <c r="F3" s="114"/>
      <c r="G3" s="114"/>
      <c r="H3" s="114"/>
      <c r="I3" s="114"/>
      <c r="J3" s="114"/>
      <c r="K3" s="2"/>
      <c r="L3" s="2"/>
    </row>
    <row r="4" spans="2:12" s="1" customFormat="1" ht="20.25" customHeight="1" x14ac:dyDescent="0.3">
      <c r="B4" s="2"/>
      <c r="C4" s="3" t="s">
        <v>0</v>
      </c>
      <c r="D4" s="2"/>
      <c r="E4" s="2"/>
      <c r="F4" s="2"/>
      <c r="G4" s="2"/>
      <c r="H4" s="2"/>
      <c r="I4" s="2"/>
      <c r="J4" s="2"/>
      <c r="K4" s="2"/>
      <c r="L4" s="2"/>
    </row>
    <row r="5" spans="2:12" s="1" customFormat="1" ht="3" customHeight="1" x14ac:dyDescent="0.2">
      <c r="B5" s="2"/>
      <c r="C5" s="4"/>
      <c r="D5" s="2"/>
      <c r="E5" s="2"/>
      <c r="F5" s="2"/>
      <c r="G5" s="2"/>
      <c r="H5" s="5"/>
      <c r="I5" s="40"/>
      <c r="J5" s="40"/>
      <c r="K5" s="40"/>
      <c r="L5" s="2"/>
    </row>
    <row r="6" spans="2:12" s="1" customFormat="1" ht="15.95" customHeight="1" x14ac:dyDescent="0.25">
      <c r="B6" s="2"/>
      <c r="C6" s="6" t="s">
        <v>1</v>
      </c>
      <c r="D6" s="2"/>
      <c r="E6" s="2"/>
      <c r="F6" s="2"/>
      <c r="G6" s="2"/>
      <c r="H6" s="36"/>
      <c r="I6" s="115" t="s">
        <v>2</v>
      </c>
      <c r="J6" s="116"/>
      <c r="K6" s="116"/>
      <c r="L6" s="39"/>
    </row>
    <row r="7" spans="2:12" s="1" customFormat="1" ht="15.95" customHeight="1" x14ac:dyDescent="0.25">
      <c r="B7" s="2"/>
      <c r="C7" s="6" t="s">
        <v>3</v>
      </c>
      <c r="D7" s="2"/>
      <c r="E7" s="2"/>
      <c r="F7" s="2"/>
      <c r="G7" s="2"/>
      <c r="H7" s="36"/>
      <c r="I7" s="116"/>
      <c r="J7" s="116"/>
      <c r="K7" s="116"/>
      <c r="L7" s="39"/>
    </row>
    <row r="8" spans="2:12" s="1" customFormat="1" ht="15.95" customHeight="1" x14ac:dyDescent="0.25">
      <c r="B8" s="2"/>
      <c r="C8" s="6" t="s">
        <v>4</v>
      </c>
      <c r="D8" s="2"/>
      <c r="E8" s="2"/>
      <c r="F8" s="2"/>
      <c r="G8" s="2"/>
      <c r="H8" s="37"/>
      <c r="I8" s="117" t="s">
        <v>5</v>
      </c>
      <c r="J8" s="118"/>
      <c r="K8" s="118"/>
      <c r="L8" s="39"/>
    </row>
    <row r="9" spans="2:12" s="1" customFormat="1" ht="15.95" customHeight="1" x14ac:dyDescent="0.25">
      <c r="B9" s="2"/>
      <c r="C9" s="6"/>
      <c r="D9" s="2"/>
      <c r="E9" s="2"/>
      <c r="F9" s="2"/>
      <c r="G9" s="2"/>
      <c r="H9" s="37"/>
      <c r="I9" s="118"/>
      <c r="J9" s="118"/>
      <c r="K9" s="118"/>
      <c r="L9" s="39"/>
    </row>
    <row r="10" spans="2:12" s="1" customFormat="1" ht="15.95" customHeight="1" x14ac:dyDescent="0.2">
      <c r="B10" s="2"/>
      <c r="C10" s="45"/>
      <c r="D10" s="45"/>
      <c r="E10" s="45"/>
      <c r="F10" s="2"/>
      <c r="G10" s="2"/>
      <c r="H10" s="38"/>
      <c r="I10" s="42"/>
      <c r="J10" s="42"/>
      <c r="K10" s="42"/>
      <c r="L10" s="39"/>
    </row>
    <row r="11" spans="2:12" s="1" customFormat="1" ht="21.95" customHeight="1" x14ac:dyDescent="0.2">
      <c r="B11" s="43"/>
      <c r="C11" s="48" t="s">
        <v>6</v>
      </c>
      <c r="D11" s="49"/>
      <c r="E11" s="50"/>
      <c r="F11" s="44"/>
      <c r="G11" s="2"/>
      <c r="H11" s="5"/>
      <c r="I11" s="41"/>
      <c r="J11" s="41"/>
      <c r="K11" s="41"/>
      <c r="L11" s="2"/>
    </row>
    <row r="12" spans="2:12" s="1" customFormat="1" ht="21.95" customHeight="1" x14ac:dyDescent="0.2">
      <c r="B12" s="43"/>
      <c r="C12" s="52" t="s">
        <v>7</v>
      </c>
      <c r="D12" s="53"/>
      <c r="E12" s="54"/>
      <c r="F12" s="47"/>
      <c r="G12" s="2"/>
      <c r="H12" s="5"/>
      <c r="I12" s="5"/>
      <c r="J12" s="5"/>
      <c r="K12" s="5"/>
      <c r="L12" s="2"/>
    </row>
    <row r="13" spans="2:12" s="1" customFormat="1" ht="21.95" customHeight="1" x14ac:dyDescent="0.2">
      <c r="B13" s="43"/>
      <c r="C13" s="57" t="s">
        <v>8</v>
      </c>
      <c r="D13" s="55"/>
      <c r="E13" s="56"/>
      <c r="F13" s="51"/>
      <c r="G13" s="2"/>
      <c r="H13" s="5"/>
      <c r="I13" s="5"/>
      <c r="J13" s="5"/>
      <c r="K13" s="5"/>
      <c r="L13" s="2"/>
    </row>
    <row r="14" spans="2:12" s="1" customFormat="1" x14ac:dyDescent="0.2">
      <c r="B14" s="2"/>
      <c r="C14" s="46"/>
      <c r="D14" s="46"/>
      <c r="E14" s="46"/>
      <c r="F14" s="2"/>
      <c r="G14" s="2"/>
      <c r="H14" s="5"/>
      <c r="I14" s="5"/>
      <c r="J14" s="5"/>
      <c r="K14" s="5"/>
      <c r="L14" s="2"/>
    </row>
    <row r="15" spans="2:12" s="1" customFormat="1" ht="25.5" x14ac:dyDescent="0.2">
      <c r="B15" s="2"/>
      <c r="C15" s="58" t="s">
        <v>9</v>
      </c>
      <c r="D15" s="59" t="s">
        <v>10</v>
      </c>
      <c r="E15" s="101" t="s">
        <v>11</v>
      </c>
      <c r="F15" s="119" t="s">
        <v>12</v>
      </c>
      <c r="G15" s="119"/>
      <c r="H15" s="60" t="s">
        <v>13</v>
      </c>
      <c r="I15" s="60" t="s">
        <v>14</v>
      </c>
      <c r="J15" s="60" t="s">
        <v>15</v>
      </c>
      <c r="K15" s="61" t="s">
        <v>1485</v>
      </c>
      <c r="L15" s="7"/>
    </row>
    <row r="16" spans="2:12" s="1" customFormat="1" ht="44.1" customHeight="1" x14ac:dyDescent="0.2">
      <c r="B16" s="8"/>
      <c r="C16" s="63" t="s">
        <v>17</v>
      </c>
      <c r="D16" s="62"/>
      <c r="E16" s="63"/>
      <c r="F16" s="108"/>
      <c r="G16" s="108"/>
      <c r="H16" s="63"/>
      <c r="I16" s="63"/>
      <c r="J16" s="63"/>
      <c r="K16" s="63"/>
      <c r="L16" s="8"/>
    </row>
    <row r="17" spans="2:12" s="9" customFormat="1" ht="13.5" customHeight="1" x14ac:dyDescent="0.2">
      <c r="B17" s="10"/>
      <c r="C17" s="97" t="s">
        <v>19</v>
      </c>
      <c r="D17" s="64" t="s">
        <v>20</v>
      </c>
      <c r="E17" s="102" t="s">
        <v>21</v>
      </c>
      <c r="F17" s="66">
        <v>17.170000000000002</v>
      </c>
      <c r="G17" s="67" t="s">
        <v>22</v>
      </c>
      <c r="H17" s="65" t="s">
        <v>23</v>
      </c>
      <c r="I17" s="67"/>
      <c r="J17" s="69">
        <f>I17*824.16</f>
        <v>0</v>
      </c>
      <c r="K17" s="68"/>
      <c r="L17" s="11"/>
    </row>
    <row r="18" spans="2:12" s="9" customFormat="1" ht="13.5" customHeight="1" x14ac:dyDescent="0.2">
      <c r="B18" s="10"/>
      <c r="C18" s="98" t="s">
        <v>24</v>
      </c>
      <c r="D18" s="70" t="s">
        <v>20</v>
      </c>
      <c r="E18" s="103" t="s">
        <v>25</v>
      </c>
      <c r="F18" s="72">
        <v>24.32</v>
      </c>
      <c r="G18" s="73" t="s">
        <v>22</v>
      </c>
      <c r="H18" s="71" t="s">
        <v>26</v>
      </c>
      <c r="I18" s="73"/>
      <c r="J18" s="75">
        <f>I18*24.32</f>
        <v>0</v>
      </c>
      <c r="K18" s="74"/>
      <c r="L18" s="11"/>
    </row>
    <row r="19" spans="2:12" s="9" customFormat="1" ht="13.5" customHeight="1" x14ac:dyDescent="0.2">
      <c r="B19" s="10"/>
      <c r="C19" s="98" t="s">
        <v>27</v>
      </c>
      <c r="D19" s="70" t="s">
        <v>20</v>
      </c>
      <c r="E19" s="103" t="s">
        <v>28</v>
      </c>
      <c r="F19" s="72">
        <v>27.36</v>
      </c>
      <c r="G19" s="73" t="s">
        <v>22</v>
      </c>
      <c r="H19" s="71" t="s">
        <v>26</v>
      </c>
      <c r="I19" s="73"/>
      <c r="J19" s="75">
        <f>I19*27.36</f>
        <v>0</v>
      </c>
      <c r="K19" s="74"/>
      <c r="L19" s="11"/>
    </row>
    <row r="20" spans="2:12" s="9" customFormat="1" ht="13.5" customHeight="1" x14ac:dyDescent="0.2">
      <c r="B20" s="10"/>
      <c r="C20" s="98" t="s">
        <v>29</v>
      </c>
      <c r="D20" s="70" t="s">
        <v>20</v>
      </c>
      <c r="E20" s="103" t="s">
        <v>30</v>
      </c>
      <c r="F20" s="72">
        <v>30.4</v>
      </c>
      <c r="G20" s="73" t="s">
        <v>22</v>
      </c>
      <c r="H20" s="71" t="s">
        <v>26</v>
      </c>
      <c r="I20" s="73"/>
      <c r="J20" s="75">
        <f>I20*30.4</f>
        <v>0</v>
      </c>
      <c r="K20" s="74"/>
      <c r="L20" s="11"/>
    </row>
    <row r="21" spans="2:12" s="9" customFormat="1" ht="13.5" customHeight="1" x14ac:dyDescent="0.2">
      <c r="B21" s="10"/>
      <c r="C21" s="97" t="s">
        <v>31</v>
      </c>
      <c r="D21" s="64" t="s">
        <v>20</v>
      </c>
      <c r="E21" s="102" t="s">
        <v>21</v>
      </c>
      <c r="F21" s="66">
        <v>31</v>
      </c>
      <c r="G21" s="67" t="s">
        <v>22</v>
      </c>
      <c r="H21" s="65" t="s">
        <v>26</v>
      </c>
      <c r="I21" s="67"/>
      <c r="J21" s="69">
        <f>I21*31</f>
        <v>0</v>
      </c>
      <c r="K21" s="68"/>
      <c r="L21" s="11"/>
    </row>
    <row r="22" spans="2:12" s="9" customFormat="1" ht="13.5" customHeight="1" x14ac:dyDescent="0.2">
      <c r="B22" s="10"/>
      <c r="C22" s="98" t="s">
        <v>32</v>
      </c>
      <c r="D22" s="70" t="s">
        <v>20</v>
      </c>
      <c r="E22" s="103" t="s">
        <v>30</v>
      </c>
      <c r="F22" s="72">
        <v>31.55</v>
      </c>
      <c r="G22" s="73" t="s">
        <v>22</v>
      </c>
      <c r="H22" s="71" t="s">
        <v>26</v>
      </c>
      <c r="I22" s="73"/>
      <c r="J22" s="75">
        <f>I22*31.55</f>
        <v>0</v>
      </c>
      <c r="K22" s="74"/>
      <c r="L22" s="11"/>
    </row>
    <row r="23" spans="2:12" s="9" customFormat="1" ht="13.5" customHeight="1" x14ac:dyDescent="0.2">
      <c r="B23" s="10"/>
      <c r="C23" s="98" t="s">
        <v>33</v>
      </c>
      <c r="D23" s="70" t="s">
        <v>20</v>
      </c>
      <c r="E23" s="103" t="s">
        <v>30</v>
      </c>
      <c r="F23" s="72">
        <v>32.83</v>
      </c>
      <c r="G23" s="73" t="s">
        <v>22</v>
      </c>
      <c r="H23" s="71" t="s">
        <v>26</v>
      </c>
      <c r="I23" s="73"/>
      <c r="J23" s="75">
        <f>I23*32.83</f>
        <v>0</v>
      </c>
      <c r="K23" s="74"/>
      <c r="L23" s="11"/>
    </row>
    <row r="24" spans="2:12" s="9" customFormat="1" ht="13.5" customHeight="1" x14ac:dyDescent="0.2">
      <c r="B24" s="10"/>
      <c r="C24" s="98" t="s">
        <v>34</v>
      </c>
      <c r="D24" s="70" t="s">
        <v>20</v>
      </c>
      <c r="E24" s="103" t="s">
        <v>28</v>
      </c>
      <c r="F24" s="72">
        <v>35.200000000000003</v>
      </c>
      <c r="G24" s="73" t="s">
        <v>22</v>
      </c>
      <c r="H24" s="71" t="s">
        <v>26</v>
      </c>
      <c r="I24" s="73"/>
      <c r="J24" s="75">
        <f>I24*35.2</f>
        <v>0</v>
      </c>
      <c r="K24" s="74"/>
      <c r="L24" s="11"/>
    </row>
    <row r="25" spans="2:12" s="9" customFormat="1" ht="13.5" customHeight="1" x14ac:dyDescent="0.2">
      <c r="B25" s="10"/>
      <c r="C25" s="98" t="s">
        <v>35</v>
      </c>
      <c r="D25" s="70" t="s">
        <v>20</v>
      </c>
      <c r="E25" s="103" t="s">
        <v>28</v>
      </c>
      <c r="F25" s="72">
        <v>38.72</v>
      </c>
      <c r="G25" s="73" t="s">
        <v>22</v>
      </c>
      <c r="H25" s="71" t="s">
        <v>26</v>
      </c>
      <c r="I25" s="73"/>
      <c r="J25" s="75">
        <f>I25*38.72</f>
        <v>0</v>
      </c>
      <c r="K25" s="74"/>
      <c r="L25" s="11"/>
    </row>
    <row r="26" spans="2:12" s="9" customFormat="1" ht="13.5" customHeight="1" x14ac:dyDescent="0.2">
      <c r="B26" s="10"/>
      <c r="C26" s="98" t="s">
        <v>36</v>
      </c>
      <c r="D26" s="70" t="s">
        <v>20</v>
      </c>
      <c r="E26" s="103" t="s">
        <v>30</v>
      </c>
      <c r="F26" s="72">
        <v>45.44</v>
      </c>
      <c r="G26" s="73" t="s">
        <v>22</v>
      </c>
      <c r="H26" s="71" t="s">
        <v>26</v>
      </c>
      <c r="I26" s="73"/>
      <c r="J26" s="75">
        <f>I26*45.44</f>
        <v>0</v>
      </c>
      <c r="K26" s="74"/>
      <c r="L26" s="11"/>
    </row>
    <row r="27" spans="2:12" s="9" customFormat="1" ht="13.5" customHeight="1" x14ac:dyDescent="0.2">
      <c r="B27" s="10"/>
      <c r="C27" s="98" t="s">
        <v>37</v>
      </c>
      <c r="D27" s="70" t="s">
        <v>20</v>
      </c>
      <c r="E27" s="103" t="s">
        <v>30</v>
      </c>
      <c r="F27" s="72">
        <v>47.36</v>
      </c>
      <c r="G27" s="73" t="s">
        <v>22</v>
      </c>
      <c r="H27" s="71" t="s">
        <v>26</v>
      </c>
      <c r="I27" s="73"/>
      <c r="J27" s="75">
        <f>I27*47.36</f>
        <v>0</v>
      </c>
      <c r="K27" s="74"/>
      <c r="L27" s="11"/>
    </row>
    <row r="28" spans="2:12" s="9" customFormat="1" ht="13.5" customHeight="1" x14ac:dyDescent="0.2">
      <c r="B28" s="10"/>
      <c r="C28" s="98" t="s">
        <v>38</v>
      </c>
      <c r="D28" s="70" t="s">
        <v>20</v>
      </c>
      <c r="E28" s="103" t="s">
        <v>30</v>
      </c>
      <c r="F28" s="72">
        <v>47.36</v>
      </c>
      <c r="G28" s="73" t="s">
        <v>22</v>
      </c>
      <c r="H28" s="71" t="s">
        <v>26</v>
      </c>
      <c r="I28" s="73"/>
      <c r="J28" s="75">
        <f>I28*47.36</f>
        <v>0</v>
      </c>
      <c r="K28" s="74"/>
      <c r="L28" s="11"/>
    </row>
    <row r="29" spans="2:12" s="9" customFormat="1" ht="13.5" customHeight="1" x14ac:dyDescent="0.2">
      <c r="B29" s="10"/>
      <c r="C29" s="98" t="s">
        <v>39</v>
      </c>
      <c r="D29" s="70" t="s">
        <v>20</v>
      </c>
      <c r="E29" s="103" t="s">
        <v>30</v>
      </c>
      <c r="F29" s="72">
        <v>48</v>
      </c>
      <c r="G29" s="73" t="s">
        <v>22</v>
      </c>
      <c r="H29" s="71" t="s">
        <v>26</v>
      </c>
      <c r="I29" s="73"/>
      <c r="J29" s="75">
        <f>I29*48</f>
        <v>0</v>
      </c>
      <c r="K29" s="74"/>
      <c r="L29" s="11"/>
    </row>
    <row r="30" spans="2:12" s="9" customFormat="1" ht="13.5" customHeight="1" x14ac:dyDescent="0.2">
      <c r="B30" s="10"/>
      <c r="C30" s="98" t="s">
        <v>40</v>
      </c>
      <c r="D30" s="70" t="s">
        <v>20</v>
      </c>
      <c r="E30" s="103" t="s">
        <v>25</v>
      </c>
      <c r="F30" s="72">
        <v>48.1</v>
      </c>
      <c r="G30" s="73" t="s">
        <v>22</v>
      </c>
      <c r="H30" s="71" t="s">
        <v>26</v>
      </c>
      <c r="I30" s="73"/>
      <c r="J30" s="75">
        <f>I30*48.1</f>
        <v>0</v>
      </c>
      <c r="K30" s="74"/>
      <c r="L30" s="11"/>
    </row>
    <row r="31" spans="2:12" s="9" customFormat="1" ht="13.5" customHeight="1" x14ac:dyDescent="0.2">
      <c r="B31" s="10"/>
      <c r="C31" s="98" t="s">
        <v>41</v>
      </c>
      <c r="D31" s="70" t="s">
        <v>20</v>
      </c>
      <c r="E31" s="103" t="s">
        <v>28</v>
      </c>
      <c r="F31" s="72">
        <v>50.88</v>
      </c>
      <c r="G31" s="73" t="s">
        <v>22</v>
      </c>
      <c r="H31" s="71" t="s">
        <v>26</v>
      </c>
      <c r="I31" s="73"/>
      <c r="J31" s="75">
        <f>I31*50.88</f>
        <v>0</v>
      </c>
      <c r="K31" s="74"/>
      <c r="L31" s="11"/>
    </row>
    <row r="32" spans="2:12" s="9" customFormat="1" ht="13.5" customHeight="1" x14ac:dyDescent="0.2">
      <c r="B32" s="10"/>
      <c r="C32" s="98" t="s">
        <v>42</v>
      </c>
      <c r="D32" s="70" t="s">
        <v>20</v>
      </c>
      <c r="E32" s="103" t="s">
        <v>30</v>
      </c>
      <c r="F32" s="72">
        <v>51.2</v>
      </c>
      <c r="G32" s="73" t="s">
        <v>22</v>
      </c>
      <c r="H32" s="71" t="s">
        <v>26</v>
      </c>
      <c r="I32" s="73"/>
      <c r="J32" s="75">
        <f>I32*51.2</f>
        <v>0</v>
      </c>
      <c r="K32" s="74"/>
      <c r="L32" s="11"/>
    </row>
    <row r="33" spans="2:12" s="9" customFormat="1" ht="13.5" customHeight="1" x14ac:dyDescent="0.2">
      <c r="B33" s="10"/>
      <c r="C33" s="98" t="s">
        <v>43</v>
      </c>
      <c r="D33" s="70" t="s">
        <v>20</v>
      </c>
      <c r="E33" s="103" t="s">
        <v>30</v>
      </c>
      <c r="F33" s="72">
        <v>54.4</v>
      </c>
      <c r="G33" s="73" t="s">
        <v>22</v>
      </c>
      <c r="H33" s="71" t="s">
        <v>26</v>
      </c>
      <c r="I33" s="73"/>
      <c r="J33" s="75">
        <f>I33*54.4</f>
        <v>0</v>
      </c>
      <c r="K33" s="74"/>
      <c r="L33" s="11"/>
    </row>
    <row r="34" spans="2:12" s="9" customFormat="1" ht="13.5" customHeight="1" x14ac:dyDescent="0.2">
      <c r="B34" s="10"/>
      <c r="C34" s="98" t="s">
        <v>44</v>
      </c>
      <c r="D34" s="70" t="s">
        <v>20</v>
      </c>
      <c r="E34" s="103" t="s">
        <v>28</v>
      </c>
      <c r="F34" s="72">
        <v>59.36</v>
      </c>
      <c r="G34" s="73" t="s">
        <v>22</v>
      </c>
      <c r="H34" s="71" t="s">
        <v>26</v>
      </c>
      <c r="I34" s="73"/>
      <c r="J34" s="75">
        <f>I34*59.36</f>
        <v>0</v>
      </c>
      <c r="K34" s="74"/>
      <c r="L34" s="11"/>
    </row>
    <row r="35" spans="2:12" s="9" customFormat="1" ht="13.5" customHeight="1" x14ac:dyDescent="0.2">
      <c r="B35" s="10"/>
      <c r="C35" s="98" t="s">
        <v>45</v>
      </c>
      <c r="D35" s="70" t="s">
        <v>20</v>
      </c>
      <c r="E35" s="103" t="s">
        <v>25</v>
      </c>
      <c r="F35" s="72">
        <v>69.12</v>
      </c>
      <c r="G35" s="73" t="s">
        <v>22</v>
      </c>
      <c r="H35" s="71" t="s">
        <v>26</v>
      </c>
      <c r="I35" s="73"/>
      <c r="J35" s="75">
        <f>I35*69.12</f>
        <v>0</v>
      </c>
      <c r="K35" s="74"/>
      <c r="L35" s="11"/>
    </row>
    <row r="36" spans="2:12" s="9" customFormat="1" ht="13.5" customHeight="1" x14ac:dyDescent="0.2">
      <c r="B36" s="10"/>
      <c r="C36" s="98" t="s">
        <v>46</v>
      </c>
      <c r="D36" s="70" t="s">
        <v>20</v>
      </c>
      <c r="E36" s="103" t="s">
        <v>30</v>
      </c>
      <c r="F36" s="72">
        <v>84.03</v>
      </c>
      <c r="G36" s="73" t="s">
        <v>22</v>
      </c>
      <c r="H36" s="71" t="s">
        <v>26</v>
      </c>
      <c r="I36" s="73"/>
      <c r="J36" s="75">
        <f>I36*84.03</f>
        <v>0</v>
      </c>
      <c r="K36" s="74"/>
      <c r="L36" s="11"/>
    </row>
    <row r="37" spans="2:12" s="9" customFormat="1" ht="13.5" customHeight="1" x14ac:dyDescent="0.2">
      <c r="B37" s="10"/>
      <c r="C37" s="98" t="s">
        <v>47</v>
      </c>
      <c r="D37" s="70" t="s">
        <v>20</v>
      </c>
      <c r="E37" s="103" t="s">
        <v>30</v>
      </c>
      <c r="F37" s="72">
        <v>84.03</v>
      </c>
      <c r="G37" s="73" t="s">
        <v>22</v>
      </c>
      <c r="H37" s="71" t="s">
        <v>26</v>
      </c>
      <c r="I37" s="73"/>
      <c r="J37" s="75">
        <f>I37*84.03</f>
        <v>0</v>
      </c>
      <c r="K37" s="74"/>
      <c r="L37" s="11"/>
    </row>
    <row r="38" spans="2:12" s="9" customFormat="1" ht="13.5" customHeight="1" x14ac:dyDescent="0.2">
      <c r="B38" s="10"/>
      <c r="C38" s="98" t="s">
        <v>48</v>
      </c>
      <c r="D38" s="70" t="s">
        <v>20</v>
      </c>
      <c r="E38" s="103" t="s">
        <v>30</v>
      </c>
      <c r="F38" s="72">
        <v>85.63</v>
      </c>
      <c r="G38" s="73" t="s">
        <v>22</v>
      </c>
      <c r="H38" s="71" t="s">
        <v>26</v>
      </c>
      <c r="I38" s="73"/>
      <c r="J38" s="75">
        <f>I38*85.63</f>
        <v>0</v>
      </c>
      <c r="K38" s="74"/>
      <c r="L38" s="11"/>
    </row>
    <row r="39" spans="2:12" s="9" customFormat="1" ht="13.5" customHeight="1" x14ac:dyDescent="0.2">
      <c r="B39" s="10"/>
      <c r="C39" s="98" t="s">
        <v>49</v>
      </c>
      <c r="D39" s="70" t="s">
        <v>20</v>
      </c>
      <c r="E39" s="103" t="s">
        <v>25</v>
      </c>
      <c r="F39" s="72">
        <v>101.12</v>
      </c>
      <c r="G39" s="73" t="s">
        <v>22</v>
      </c>
      <c r="H39" s="71" t="s">
        <v>50</v>
      </c>
      <c r="I39" s="73"/>
      <c r="J39" s="75">
        <f>I39*5056</f>
        <v>0</v>
      </c>
      <c r="K39" s="74"/>
      <c r="L39" s="11"/>
    </row>
    <row r="40" spans="2:12" s="9" customFormat="1" ht="13.5" customHeight="1" x14ac:dyDescent="0.2">
      <c r="B40" s="10"/>
      <c r="C40" s="98" t="s">
        <v>51</v>
      </c>
      <c r="D40" s="70" t="s">
        <v>20</v>
      </c>
      <c r="E40" s="103" t="s">
        <v>21</v>
      </c>
      <c r="F40" s="72">
        <v>116.96</v>
      </c>
      <c r="G40" s="73" t="s">
        <v>22</v>
      </c>
      <c r="H40" s="71" t="s">
        <v>52</v>
      </c>
      <c r="I40" s="73"/>
      <c r="J40" s="75">
        <f>I40*2339.2</f>
        <v>0</v>
      </c>
      <c r="K40" s="74"/>
      <c r="L40" s="11"/>
    </row>
    <row r="41" spans="2:12" s="9" customFormat="1" ht="13.5" customHeight="1" x14ac:dyDescent="0.2">
      <c r="B41" s="10"/>
      <c r="C41" s="98" t="s">
        <v>53</v>
      </c>
      <c r="D41" s="70" t="s">
        <v>20</v>
      </c>
      <c r="E41" s="103" t="s">
        <v>25</v>
      </c>
      <c r="F41" s="72">
        <v>119.68</v>
      </c>
      <c r="G41" s="73" t="s">
        <v>22</v>
      </c>
      <c r="H41" s="71" t="s">
        <v>26</v>
      </c>
      <c r="I41" s="73"/>
      <c r="J41" s="75">
        <f>I41*119.68</f>
        <v>0</v>
      </c>
      <c r="K41" s="74"/>
      <c r="L41" s="11"/>
    </row>
    <row r="42" spans="2:12" s="9" customFormat="1" ht="13.5" customHeight="1" x14ac:dyDescent="0.2">
      <c r="B42" s="10"/>
      <c r="C42" s="98" t="s">
        <v>54</v>
      </c>
      <c r="D42" s="70" t="s">
        <v>20</v>
      </c>
      <c r="E42" s="103" t="s">
        <v>25</v>
      </c>
      <c r="F42" s="72">
        <v>132.47999999999999</v>
      </c>
      <c r="G42" s="73" t="s">
        <v>22</v>
      </c>
      <c r="H42" s="71" t="s">
        <v>26</v>
      </c>
      <c r="I42" s="73"/>
      <c r="J42" s="75">
        <f>I42*132.48</f>
        <v>0</v>
      </c>
      <c r="K42" s="74"/>
      <c r="L42" s="11"/>
    </row>
    <row r="43" spans="2:12" s="9" customFormat="1" ht="13.5" customHeight="1" x14ac:dyDescent="0.2">
      <c r="B43" s="10"/>
      <c r="C43" s="98" t="s">
        <v>55</v>
      </c>
      <c r="D43" s="70" t="s">
        <v>20</v>
      </c>
      <c r="E43" s="103" t="s">
        <v>28</v>
      </c>
      <c r="F43" s="72">
        <v>151.19999999999999</v>
      </c>
      <c r="G43" s="73" t="s">
        <v>22</v>
      </c>
      <c r="H43" s="71" t="s">
        <v>26</v>
      </c>
      <c r="I43" s="73"/>
      <c r="J43" s="75">
        <f>I43*151.2</f>
        <v>0</v>
      </c>
      <c r="K43" s="74"/>
      <c r="L43" s="11"/>
    </row>
    <row r="44" spans="2:12" s="9" customFormat="1" ht="13.5" customHeight="1" x14ac:dyDescent="0.2">
      <c r="B44" s="10"/>
      <c r="C44" s="98" t="s">
        <v>56</v>
      </c>
      <c r="D44" s="70" t="s">
        <v>20</v>
      </c>
      <c r="E44" s="103" t="s">
        <v>28</v>
      </c>
      <c r="F44" s="72">
        <v>151.19999999999999</v>
      </c>
      <c r="G44" s="73" t="s">
        <v>22</v>
      </c>
      <c r="H44" s="71" t="s">
        <v>26</v>
      </c>
      <c r="I44" s="73"/>
      <c r="J44" s="75">
        <f>I44*151.2</f>
        <v>0</v>
      </c>
      <c r="K44" s="74"/>
      <c r="L44" s="11"/>
    </row>
    <row r="45" spans="2:12" s="9" customFormat="1" ht="13.5" customHeight="1" x14ac:dyDescent="0.2">
      <c r="B45" s="10"/>
      <c r="C45" s="98" t="s">
        <v>57</v>
      </c>
      <c r="D45" s="70" t="s">
        <v>20</v>
      </c>
      <c r="E45" s="103" t="s">
        <v>30</v>
      </c>
      <c r="F45" s="72">
        <v>155.19999999999999</v>
      </c>
      <c r="G45" s="73" t="s">
        <v>22</v>
      </c>
      <c r="H45" s="71" t="s">
        <v>26</v>
      </c>
      <c r="I45" s="73"/>
      <c r="J45" s="75">
        <f>I45*155.2</f>
        <v>0</v>
      </c>
      <c r="K45" s="74"/>
      <c r="L45" s="11"/>
    </row>
    <row r="46" spans="2:12" s="9" customFormat="1" ht="13.5" customHeight="1" x14ac:dyDescent="0.2">
      <c r="B46" s="10"/>
      <c r="C46" s="98" t="s">
        <v>58</v>
      </c>
      <c r="D46" s="70" t="s">
        <v>20</v>
      </c>
      <c r="E46" s="103" t="s">
        <v>28</v>
      </c>
      <c r="F46" s="72">
        <v>159.68</v>
      </c>
      <c r="G46" s="73" t="s">
        <v>22</v>
      </c>
      <c r="H46" s="71" t="s">
        <v>26</v>
      </c>
      <c r="I46" s="73"/>
      <c r="J46" s="75">
        <f>I46*159.68</f>
        <v>0</v>
      </c>
      <c r="K46" s="74"/>
      <c r="L46" s="11"/>
    </row>
    <row r="47" spans="2:12" s="9" customFormat="1" ht="13.5" customHeight="1" x14ac:dyDescent="0.2">
      <c r="B47" s="10"/>
      <c r="C47" s="98" t="s">
        <v>59</v>
      </c>
      <c r="D47" s="70" t="s">
        <v>20</v>
      </c>
      <c r="E47" s="103" t="s">
        <v>28</v>
      </c>
      <c r="F47" s="72">
        <v>159.68</v>
      </c>
      <c r="G47" s="73" t="s">
        <v>22</v>
      </c>
      <c r="H47" s="71" t="s">
        <v>26</v>
      </c>
      <c r="I47" s="73"/>
      <c r="J47" s="75">
        <f>I47*159.68</f>
        <v>0</v>
      </c>
      <c r="K47" s="74"/>
      <c r="L47" s="11"/>
    </row>
    <row r="48" spans="2:12" s="9" customFormat="1" ht="13.5" customHeight="1" x14ac:dyDescent="0.2">
      <c r="B48" s="10"/>
      <c r="C48" s="98" t="s">
        <v>60</v>
      </c>
      <c r="D48" s="70" t="s">
        <v>20</v>
      </c>
      <c r="E48" s="103" t="s">
        <v>28</v>
      </c>
      <c r="F48" s="72">
        <v>162.72</v>
      </c>
      <c r="G48" s="73" t="s">
        <v>22</v>
      </c>
      <c r="H48" s="71" t="s">
        <v>26</v>
      </c>
      <c r="I48" s="73"/>
      <c r="J48" s="75">
        <f>I48*162.72</f>
        <v>0</v>
      </c>
      <c r="K48" s="74"/>
      <c r="L48" s="11"/>
    </row>
    <row r="49" spans="2:12" s="9" customFormat="1" ht="13.5" customHeight="1" x14ac:dyDescent="0.2">
      <c r="B49" s="10"/>
      <c r="C49" s="98" t="s">
        <v>61</v>
      </c>
      <c r="D49" s="70" t="s">
        <v>20</v>
      </c>
      <c r="E49" s="103" t="s">
        <v>28</v>
      </c>
      <c r="F49" s="72">
        <v>162.72</v>
      </c>
      <c r="G49" s="73" t="s">
        <v>22</v>
      </c>
      <c r="H49" s="71" t="s">
        <v>26</v>
      </c>
      <c r="I49" s="73"/>
      <c r="J49" s="75">
        <f>I49*162.72</f>
        <v>0</v>
      </c>
      <c r="K49" s="74"/>
      <c r="L49" s="11"/>
    </row>
    <row r="50" spans="2:12" s="9" customFormat="1" ht="13.5" customHeight="1" x14ac:dyDescent="0.2">
      <c r="B50" s="10"/>
      <c r="C50" s="98" t="s">
        <v>62</v>
      </c>
      <c r="D50" s="70" t="s">
        <v>20</v>
      </c>
      <c r="E50" s="103" t="s">
        <v>28</v>
      </c>
      <c r="F50" s="72">
        <v>169.44</v>
      </c>
      <c r="G50" s="73" t="s">
        <v>22</v>
      </c>
      <c r="H50" s="71" t="s">
        <v>26</v>
      </c>
      <c r="I50" s="73"/>
      <c r="J50" s="75">
        <f>I50*169.44</f>
        <v>0</v>
      </c>
      <c r="K50" s="74"/>
      <c r="L50" s="11"/>
    </row>
    <row r="51" spans="2:12" s="9" customFormat="1" ht="13.5" customHeight="1" x14ac:dyDescent="0.2">
      <c r="B51" s="10"/>
      <c r="C51" s="98" t="s">
        <v>63</v>
      </c>
      <c r="D51" s="70" t="s">
        <v>20</v>
      </c>
      <c r="E51" s="103" t="s">
        <v>28</v>
      </c>
      <c r="F51" s="72">
        <v>184</v>
      </c>
      <c r="G51" s="73" t="s">
        <v>22</v>
      </c>
      <c r="H51" s="71" t="s">
        <v>26</v>
      </c>
      <c r="I51" s="73"/>
      <c r="J51" s="75">
        <f>I51*184</f>
        <v>0</v>
      </c>
      <c r="K51" s="74"/>
      <c r="L51" s="11"/>
    </row>
    <row r="52" spans="2:12" s="9" customFormat="1" ht="13.5" customHeight="1" x14ac:dyDescent="0.2">
      <c r="B52" s="10"/>
      <c r="C52" s="98" t="s">
        <v>64</v>
      </c>
      <c r="D52" s="70" t="s">
        <v>20</v>
      </c>
      <c r="E52" s="103" t="s">
        <v>30</v>
      </c>
      <c r="F52" s="72">
        <v>184</v>
      </c>
      <c r="G52" s="73" t="s">
        <v>22</v>
      </c>
      <c r="H52" s="71" t="s">
        <v>26</v>
      </c>
      <c r="I52" s="73"/>
      <c r="J52" s="75">
        <f>I52*184</f>
        <v>0</v>
      </c>
      <c r="K52" s="74"/>
      <c r="L52" s="11"/>
    </row>
    <row r="53" spans="2:12" s="9" customFormat="1" ht="13.5" customHeight="1" x14ac:dyDescent="0.2">
      <c r="B53" s="10"/>
      <c r="C53" s="98" t="s">
        <v>65</v>
      </c>
      <c r="D53" s="70" t="s">
        <v>20</v>
      </c>
      <c r="E53" s="103" t="s">
        <v>30</v>
      </c>
      <c r="F53" s="72">
        <v>184</v>
      </c>
      <c r="G53" s="73" t="s">
        <v>22</v>
      </c>
      <c r="H53" s="71" t="s">
        <v>26</v>
      </c>
      <c r="I53" s="73"/>
      <c r="J53" s="75">
        <f>I53*184</f>
        <v>0</v>
      </c>
      <c r="K53" s="74"/>
      <c r="L53" s="11"/>
    </row>
    <row r="54" spans="2:12" s="9" customFormat="1" ht="13.5" customHeight="1" x14ac:dyDescent="0.2">
      <c r="B54" s="10"/>
      <c r="C54" s="98" t="s">
        <v>66</v>
      </c>
      <c r="D54" s="70" t="s">
        <v>20</v>
      </c>
      <c r="E54" s="103" t="s">
        <v>28</v>
      </c>
      <c r="F54" s="72">
        <v>188.48</v>
      </c>
      <c r="G54" s="73" t="s">
        <v>22</v>
      </c>
      <c r="H54" s="71" t="s">
        <v>26</v>
      </c>
      <c r="I54" s="73"/>
      <c r="J54" s="75">
        <f>I54*188.48</f>
        <v>0</v>
      </c>
      <c r="K54" s="74"/>
      <c r="L54" s="11"/>
    </row>
    <row r="55" spans="2:12" s="9" customFormat="1" ht="13.5" customHeight="1" x14ac:dyDescent="0.2">
      <c r="B55" s="10"/>
      <c r="C55" s="98" t="s">
        <v>67</v>
      </c>
      <c r="D55" s="70" t="s">
        <v>20</v>
      </c>
      <c r="E55" s="103" t="s">
        <v>28</v>
      </c>
      <c r="F55" s="72">
        <v>190.08</v>
      </c>
      <c r="G55" s="73" t="s">
        <v>22</v>
      </c>
      <c r="H55" s="71" t="s">
        <v>26</v>
      </c>
      <c r="I55" s="73"/>
      <c r="J55" s="75">
        <f>I55*190.08</f>
        <v>0</v>
      </c>
      <c r="K55" s="74"/>
      <c r="L55" s="11"/>
    </row>
    <row r="56" spans="2:12" s="9" customFormat="1" ht="13.5" customHeight="1" x14ac:dyDescent="0.2">
      <c r="B56" s="10"/>
      <c r="C56" s="98" t="s">
        <v>68</v>
      </c>
      <c r="D56" s="70" t="s">
        <v>20</v>
      </c>
      <c r="E56" s="103" t="s">
        <v>28</v>
      </c>
      <c r="F56" s="72">
        <v>190.08</v>
      </c>
      <c r="G56" s="73" t="s">
        <v>22</v>
      </c>
      <c r="H56" s="71" t="s">
        <v>26</v>
      </c>
      <c r="I56" s="73"/>
      <c r="J56" s="75">
        <f>I56*190.08</f>
        <v>0</v>
      </c>
      <c r="K56" s="74"/>
      <c r="L56" s="11"/>
    </row>
    <row r="57" spans="2:12" s="9" customFormat="1" ht="13.5" customHeight="1" x14ac:dyDescent="0.2">
      <c r="B57" s="10"/>
      <c r="C57" s="98" t="s">
        <v>69</v>
      </c>
      <c r="D57" s="70" t="s">
        <v>20</v>
      </c>
      <c r="E57" s="103" t="s">
        <v>28</v>
      </c>
      <c r="F57" s="72">
        <v>194.56</v>
      </c>
      <c r="G57" s="73" t="s">
        <v>22</v>
      </c>
      <c r="H57" s="71" t="s">
        <v>26</v>
      </c>
      <c r="I57" s="73"/>
      <c r="J57" s="75">
        <f>I57*194.56</f>
        <v>0</v>
      </c>
      <c r="K57" s="74"/>
      <c r="L57" s="11"/>
    </row>
    <row r="58" spans="2:12" s="9" customFormat="1" ht="13.5" customHeight="1" x14ac:dyDescent="0.2">
      <c r="B58" s="10"/>
      <c r="C58" s="98" t="s">
        <v>70</v>
      </c>
      <c r="D58" s="70" t="s">
        <v>20</v>
      </c>
      <c r="E58" s="103" t="s">
        <v>28</v>
      </c>
      <c r="F58" s="72">
        <v>194.56</v>
      </c>
      <c r="G58" s="73" t="s">
        <v>22</v>
      </c>
      <c r="H58" s="71" t="s">
        <v>26</v>
      </c>
      <c r="I58" s="73"/>
      <c r="J58" s="75">
        <f>I58*194.56</f>
        <v>0</v>
      </c>
      <c r="K58" s="74"/>
      <c r="L58" s="11"/>
    </row>
    <row r="59" spans="2:12" s="9" customFormat="1" ht="13.5" customHeight="1" x14ac:dyDescent="0.2">
      <c r="B59" s="10"/>
      <c r="C59" s="98" t="s">
        <v>71</v>
      </c>
      <c r="D59" s="70" t="s">
        <v>20</v>
      </c>
      <c r="E59" s="103" t="s">
        <v>28</v>
      </c>
      <c r="F59" s="72">
        <v>199.2</v>
      </c>
      <c r="G59" s="73" t="s">
        <v>22</v>
      </c>
      <c r="H59" s="71" t="s">
        <v>26</v>
      </c>
      <c r="I59" s="73"/>
      <c r="J59" s="75">
        <f>I59*199.2</f>
        <v>0</v>
      </c>
      <c r="K59" s="74"/>
      <c r="L59" s="11"/>
    </row>
    <row r="60" spans="2:12" s="9" customFormat="1" ht="13.5" customHeight="1" x14ac:dyDescent="0.2">
      <c r="B60" s="10"/>
      <c r="C60" s="98" t="s">
        <v>72</v>
      </c>
      <c r="D60" s="70" t="s">
        <v>20</v>
      </c>
      <c r="E60" s="103" t="s">
        <v>28</v>
      </c>
      <c r="F60" s="72">
        <v>208.32</v>
      </c>
      <c r="G60" s="73" t="s">
        <v>22</v>
      </c>
      <c r="H60" s="71" t="s">
        <v>26</v>
      </c>
      <c r="I60" s="73"/>
      <c r="J60" s="75">
        <f>I60*208.32</f>
        <v>0</v>
      </c>
      <c r="K60" s="74"/>
      <c r="L60" s="11"/>
    </row>
    <row r="61" spans="2:12" s="9" customFormat="1" ht="13.5" customHeight="1" x14ac:dyDescent="0.2">
      <c r="B61" s="10"/>
      <c r="C61" s="98" t="s">
        <v>73</v>
      </c>
      <c r="D61" s="70" t="s">
        <v>20</v>
      </c>
      <c r="E61" s="103" t="s">
        <v>30</v>
      </c>
      <c r="F61" s="72">
        <v>224</v>
      </c>
      <c r="G61" s="73" t="s">
        <v>22</v>
      </c>
      <c r="H61" s="71" t="s">
        <v>26</v>
      </c>
      <c r="I61" s="73"/>
      <c r="J61" s="75">
        <f>I61*224</f>
        <v>0</v>
      </c>
      <c r="K61" s="74"/>
      <c r="L61" s="11"/>
    </row>
    <row r="62" spans="2:12" s="9" customFormat="1" ht="13.5" customHeight="1" x14ac:dyDescent="0.2">
      <c r="B62" s="10"/>
      <c r="C62" s="98" t="s">
        <v>74</v>
      </c>
      <c r="D62" s="70" t="s">
        <v>20</v>
      </c>
      <c r="E62" s="103" t="s">
        <v>30</v>
      </c>
      <c r="F62" s="72">
        <v>224</v>
      </c>
      <c r="G62" s="73" t="s">
        <v>22</v>
      </c>
      <c r="H62" s="71" t="s">
        <v>26</v>
      </c>
      <c r="I62" s="73"/>
      <c r="J62" s="75">
        <f>I62*224</f>
        <v>0</v>
      </c>
      <c r="K62" s="74"/>
      <c r="L62" s="11"/>
    </row>
    <row r="63" spans="2:12" s="9" customFormat="1" ht="13.5" customHeight="1" x14ac:dyDescent="0.2">
      <c r="B63" s="10"/>
      <c r="C63" s="98" t="s">
        <v>75</v>
      </c>
      <c r="D63" s="70" t="s">
        <v>20</v>
      </c>
      <c r="E63" s="103" t="s">
        <v>28</v>
      </c>
      <c r="F63" s="72">
        <v>231.04</v>
      </c>
      <c r="G63" s="73" t="s">
        <v>22</v>
      </c>
      <c r="H63" s="71" t="s">
        <v>26</v>
      </c>
      <c r="I63" s="73"/>
      <c r="J63" s="75">
        <f>I63*231.04</f>
        <v>0</v>
      </c>
      <c r="K63" s="74"/>
      <c r="L63" s="11"/>
    </row>
    <row r="64" spans="2:12" s="9" customFormat="1" ht="13.5" customHeight="1" x14ac:dyDescent="0.2">
      <c r="B64" s="10"/>
      <c r="C64" s="99" t="s">
        <v>77</v>
      </c>
      <c r="D64" s="76" t="s">
        <v>20</v>
      </c>
      <c r="E64" s="104" t="s">
        <v>30</v>
      </c>
      <c r="F64" s="78">
        <v>240.83</v>
      </c>
      <c r="G64" s="79" t="s">
        <v>22</v>
      </c>
      <c r="H64" s="77" t="s">
        <v>26</v>
      </c>
      <c r="I64" s="79"/>
      <c r="J64" s="81">
        <f>I64*240.83</f>
        <v>0</v>
      </c>
      <c r="K64" s="80"/>
      <c r="L64" s="11"/>
    </row>
    <row r="65" spans="2:12" s="9" customFormat="1" ht="13.5" customHeight="1" x14ac:dyDescent="0.2">
      <c r="B65" s="10"/>
      <c r="C65" s="98" t="s">
        <v>78</v>
      </c>
      <c r="D65" s="70" t="s">
        <v>20</v>
      </c>
      <c r="E65" s="103" t="s">
        <v>28</v>
      </c>
      <c r="F65" s="72">
        <v>244</v>
      </c>
      <c r="G65" s="73" t="s">
        <v>22</v>
      </c>
      <c r="H65" s="71" t="s">
        <v>26</v>
      </c>
      <c r="I65" s="73"/>
      <c r="J65" s="75">
        <f>I65*244</f>
        <v>0</v>
      </c>
      <c r="K65" s="74"/>
      <c r="L65" s="11"/>
    </row>
    <row r="66" spans="2:12" s="9" customFormat="1" ht="13.5" customHeight="1" x14ac:dyDescent="0.2">
      <c r="B66" s="10"/>
      <c r="C66" s="98" t="s">
        <v>79</v>
      </c>
      <c r="D66" s="70" t="s">
        <v>20</v>
      </c>
      <c r="E66" s="103" t="s">
        <v>28</v>
      </c>
      <c r="F66" s="72">
        <v>249.28</v>
      </c>
      <c r="G66" s="73" t="s">
        <v>22</v>
      </c>
      <c r="H66" s="71" t="s">
        <v>26</v>
      </c>
      <c r="I66" s="73"/>
      <c r="J66" s="75">
        <f>I66*249.28</f>
        <v>0</v>
      </c>
      <c r="K66" s="74"/>
      <c r="L66" s="11"/>
    </row>
    <row r="67" spans="2:12" s="9" customFormat="1" ht="13.5" customHeight="1" x14ac:dyDescent="0.2">
      <c r="B67" s="10"/>
      <c r="C67" s="98" t="s">
        <v>80</v>
      </c>
      <c r="D67" s="70" t="s">
        <v>20</v>
      </c>
      <c r="E67" s="103" t="s">
        <v>28</v>
      </c>
      <c r="F67" s="72">
        <v>249.28</v>
      </c>
      <c r="G67" s="73" t="s">
        <v>22</v>
      </c>
      <c r="H67" s="71" t="s">
        <v>26</v>
      </c>
      <c r="I67" s="73"/>
      <c r="J67" s="75">
        <f>I67*249.28</f>
        <v>0</v>
      </c>
      <c r="K67" s="74"/>
      <c r="L67" s="11"/>
    </row>
    <row r="68" spans="2:12" s="9" customFormat="1" ht="13.5" customHeight="1" x14ac:dyDescent="0.2">
      <c r="B68" s="10"/>
      <c r="C68" s="98" t="s">
        <v>81</v>
      </c>
      <c r="D68" s="70" t="s">
        <v>20</v>
      </c>
      <c r="E68" s="103" t="s">
        <v>28</v>
      </c>
      <c r="F68" s="72">
        <v>250.88</v>
      </c>
      <c r="G68" s="73" t="s">
        <v>22</v>
      </c>
      <c r="H68" s="71" t="s">
        <v>26</v>
      </c>
      <c r="I68" s="73"/>
      <c r="J68" s="75">
        <f>I68*250.88</f>
        <v>0</v>
      </c>
      <c r="K68" s="74"/>
      <c r="L68" s="11"/>
    </row>
    <row r="69" spans="2:12" s="9" customFormat="1" ht="13.5" customHeight="1" x14ac:dyDescent="0.2">
      <c r="B69" s="10"/>
      <c r="C69" s="98" t="s">
        <v>82</v>
      </c>
      <c r="D69" s="70" t="s">
        <v>20</v>
      </c>
      <c r="E69" s="103" t="s">
        <v>28</v>
      </c>
      <c r="F69" s="72">
        <v>255.36</v>
      </c>
      <c r="G69" s="73" t="s">
        <v>22</v>
      </c>
      <c r="H69" s="71" t="s">
        <v>26</v>
      </c>
      <c r="I69" s="73"/>
      <c r="J69" s="75">
        <f>I69*255.36</f>
        <v>0</v>
      </c>
      <c r="K69" s="74"/>
      <c r="L69" s="11"/>
    </row>
    <row r="70" spans="2:12" s="9" customFormat="1" ht="13.5" customHeight="1" x14ac:dyDescent="0.2">
      <c r="B70" s="10"/>
      <c r="C70" s="98" t="s">
        <v>83</v>
      </c>
      <c r="D70" s="70" t="s">
        <v>20</v>
      </c>
      <c r="E70" s="103" t="s">
        <v>30</v>
      </c>
      <c r="F70" s="72">
        <v>256</v>
      </c>
      <c r="G70" s="73" t="s">
        <v>22</v>
      </c>
      <c r="H70" s="71" t="s">
        <v>26</v>
      </c>
      <c r="I70" s="73"/>
      <c r="J70" s="75">
        <f>I70*256</f>
        <v>0</v>
      </c>
      <c r="K70" s="74"/>
      <c r="L70" s="11"/>
    </row>
    <row r="71" spans="2:12" s="9" customFormat="1" ht="13.5" customHeight="1" x14ac:dyDescent="0.2">
      <c r="B71" s="10"/>
      <c r="C71" s="98" t="s">
        <v>84</v>
      </c>
      <c r="D71" s="70" t="s">
        <v>20</v>
      </c>
      <c r="E71" s="103" t="s">
        <v>28</v>
      </c>
      <c r="F71" s="72">
        <v>258.39999999999998</v>
      </c>
      <c r="G71" s="73" t="s">
        <v>22</v>
      </c>
      <c r="H71" s="71" t="s">
        <v>26</v>
      </c>
      <c r="I71" s="73"/>
      <c r="J71" s="75">
        <f>I71*258.4</f>
        <v>0</v>
      </c>
      <c r="K71" s="74"/>
      <c r="L71" s="11"/>
    </row>
    <row r="72" spans="2:12" s="9" customFormat="1" ht="13.5" customHeight="1" x14ac:dyDescent="0.2">
      <c r="B72" s="10"/>
      <c r="C72" s="98" t="s">
        <v>85</v>
      </c>
      <c r="D72" s="70" t="s">
        <v>20</v>
      </c>
      <c r="E72" s="103" t="s">
        <v>28</v>
      </c>
      <c r="F72" s="72">
        <v>258.39999999999998</v>
      </c>
      <c r="G72" s="73" t="s">
        <v>22</v>
      </c>
      <c r="H72" s="71" t="s">
        <v>26</v>
      </c>
      <c r="I72" s="73"/>
      <c r="J72" s="75">
        <f>I72*258.4</f>
        <v>0</v>
      </c>
      <c r="K72" s="74"/>
      <c r="L72" s="11"/>
    </row>
    <row r="73" spans="2:12" s="9" customFormat="1" ht="13.5" customHeight="1" x14ac:dyDescent="0.2">
      <c r="B73" s="10"/>
      <c r="C73" s="98" t="s">
        <v>86</v>
      </c>
      <c r="D73" s="70" t="s">
        <v>20</v>
      </c>
      <c r="E73" s="103" t="s">
        <v>28</v>
      </c>
      <c r="F73" s="72">
        <v>266.08</v>
      </c>
      <c r="G73" s="73" t="s">
        <v>22</v>
      </c>
      <c r="H73" s="71" t="s">
        <v>26</v>
      </c>
      <c r="I73" s="73"/>
      <c r="J73" s="75">
        <f>I73*266.08</f>
        <v>0</v>
      </c>
      <c r="K73" s="74"/>
      <c r="L73" s="11"/>
    </row>
    <row r="74" spans="2:12" s="9" customFormat="1" ht="13.5" customHeight="1" x14ac:dyDescent="0.2">
      <c r="B74" s="10"/>
      <c r="C74" s="98" t="s">
        <v>87</v>
      </c>
      <c r="D74" s="70" t="s">
        <v>20</v>
      </c>
      <c r="E74" s="103" t="s">
        <v>28</v>
      </c>
      <c r="F74" s="72">
        <v>266.08</v>
      </c>
      <c r="G74" s="73" t="s">
        <v>22</v>
      </c>
      <c r="H74" s="71" t="s">
        <v>26</v>
      </c>
      <c r="I74" s="73"/>
      <c r="J74" s="75">
        <f>I74*266.08</f>
        <v>0</v>
      </c>
      <c r="K74" s="74"/>
      <c r="L74" s="11"/>
    </row>
    <row r="75" spans="2:12" s="9" customFormat="1" ht="13.5" customHeight="1" x14ac:dyDescent="0.2">
      <c r="B75" s="10"/>
      <c r="C75" s="98" t="s">
        <v>88</v>
      </c>
      <c r="D75" s="70" t="s">
        <v>20</v>
      </c>
      <c r="E75" s="103" t="s">
        <v>30</v>
      </c>
      <c r="F75" s="72">
        <v>291.2</v>
      </c>
      <c r="G75" s="73" t="s">
        <v>22</v>
      </c>
      <c r="H75" s="71" t="s">
        <v>26</v>
      </c>
      <c r="I75" s="73"/>
      <c r="J75" s="75">
        <f>I75*291.2</f>
        <v>0</v>
      </c>
      <c r="K75" s="74"/>
      <c r="L75" s="11"/>
    </row>
    <row r="76" spans="2:12" s="9" customFormat="1" ht="13.5" customHeight="1" x14ac:dyDescent="0.2">
      <c r="B76" s="10"/>
      <c r="C76" s="98" t="s">
        <v>89</v>
      </c>
      <c r="D76" s="70" t="s">
        <v>20</v>
      </c>
      <c r="E76" s="103" t="s">
        <v>30</v>
      </c>
      <c r="F76" s="72">
        <v>291.2</v>
      </c>
      <c r="G76" s="73" t="s">
        <v>22</v>
      </c>
      <c r="H76" s="71" t="s">
        <v>26</v>
      </c>
      <c r="I76" s="73"/>
      <c r="J76" s="75">
        <f>I76*291.2</f>
        <v>0</v>
      </c>
      <c r="K76" s="74"/>
      <c r="L76" s="11"/>
    </row>
    <row r="77" spans="2:12" s="9" customFormat="1" ht="13.5" customHeight="1" x14ac:dyDescent="0.2">
      <c r="B77" s="10"/>
      <c r="C77" s="98" t="s">
        <v>90</v>
      </c>
      <c r="D77" s="70" t="s">
        <v>20</v>
      </c>
      <c r="E77" s="103" t="s">
        <v>28</v>
      </c>
      <c r="F77" s="72">
        <v>305.60000000000002</v>
      </c>
      <c r="G77" s="73" t="s">
        <v>22</v>
      </c>
      <c r="H77" s="71" t="s">
        <v>26</v>
      </c>
      <c r="I77" s="73"/>
      <c r="J77" s="75">
        <f>I77*305.6</f>
        <v>0</v>
      </c>
      <c r="K77" s="74"/>
      <c r="L77" s="11"/>
    </row>
    <row r="78" spans="2:12" s="9" customFormat="1" ht="13.5" customHeight="1" x14ac:dyDescent="0.2">
      <c r="B78" s="10"/>
      <c r="C78" s="98" t="s">
        <v>91</v>
      </c>
      <c r="D78" s="70" t="s">
        <v>20</v>
      </c>
      <c r="E78" s="103" t="s">
        <v>28</v>
      </c>
      <c r="F78" s="72">
        <v>319.2</v>
      </c>
      <c r="G78" s="73" t="s">
        <v>22</v>
      </c>
      <c r="H78" s="71" t="s">
        <v>26</v>
      </c>
      <c r="I78" s="73"/>
      <c r="J78" s="75">
        <f>I78*319.2</f>
        <v>0</v>
      </c>
      <c r="K78" s="74"/>
      <c r="L78" s="11"/>
    </row>
    <row r="79" spans="2:12" s="9" customFormat="1" ht="13.5" customHeight="1" x14ac:dyDescent="0.2">
      <c r="B79" s="10"/>
      <c r="C79" s="98" t="s">
        <v>92</v>
      </c>
      <c r="D79" s="70" t="s">
        <v>20</v>
      </c>
      <c r="E79" s="103" t="s">
        <v>28</v>
      </c>
      <c r="F79" s="72">
        <v>331.36</v>
      </c>
      <c r="G79" s="73" t="s">
        <v>22</v>
      </c>
      <c r="H79" s="71" t="s">
        <v>26</v>
      </c>
      <c r="I79" s="73"/>
      <c r="J79" s="75">
        <f>I79*331.36</f>
        <v>0</v>
      </c>
      <c r="K79" s="74"/>
      <c r="L79" s="11"/>
    </row>
    <row r="80" spans="2:12" s="9" customFormat="1" ht="13.5" customHeight="1" x14ac:dyDescent="0.2">
      <c r="B80" s="10"/>
      <c r="C80" s="98" t="s">
        <v>93</v>
      </c>
      <c r="D80" s="70" t="s">
        <v>20</v>
      </c>
      <c r="E80" s="103" t="s">
        <v>28</v>
      </c>
      <c r="F80" s="72">
        <v>342.08</v>
      </c>
      <c r="G80" s="73" t="s">
        <v>22</v>
      </c>
      <c r="H80" s="71" t="s">
        <v>26</v>
      </c>
      <c r="I80" s="73"/>
      <c r="J80" s="75">
        <f>I80*342.08</f>
        <v>0</v>
      </c>
      <c r="K80" s="74"/>
      <c r="L80" s="11"/>
    </row>
    <row r="81" spans="2:12" s="9" customFormat="1" ht="13.5" customHeight="1" x14ac:dyDescent="0.2">
      <c r="B81" s="10"/>
      <c r="C81" s="98" t="s">
        <v>94</v>
      </c>
      <c r="D81" s="70" t="s">
        <v>20</v>
      </c>
      <c r="E81" s="103" t="s">
        <v>28</v>
      </c>
      <c r="F81" s="72">
        <v>372.48</v>
      </c>
      <c r="G81" s="73" t="s">
        <v>22</v>
      </c>
      <c r="H81" s="71" t="s">
        <v>26</v>
      </c>
      <c r="I81" s="73"/>
      <c r="J81" s="75">
        <f>I81*372.48</f>
        <v>0</v>
      </c>
      <c r="K81" s="74"/>
      <c r="L81" s="11"/>
    </row>
    <row r="82" spans="2:12" s="9" customFormat="1" ht="13.5" customHeight="1" x14ac:dyDescent="0.2">
      <c r="B82" s="10"/>
      <c r="C82" s="98" t="s">
        <v>95</v>
      </c>
      <c r="D82" s="70" t="s">
        <v>20</v>
      </c>
      <c r="E82" s="103" t="s">
        <v>28</v>
      </c>
      <c r="F82" s="72">
        <v>433.28</v>
      </c>
      <c r="G82" s="73" t="s">
        <v>22</v>
      </c>
      <c r="H82" s="71" t="s">
        <v>26</v>
      </c>
      <c r="I82" s="73"/>
      <c r="J82" s="75">
        <f>I82*433.28</f>
        <v>0</v>
      </c>
      <c r="K82" s="74"/>
      <c r="L82" s="11"/>
    </row>
    <row r="83" spans="2:12" s="1" customFormat="1" ht="44.1" customHeight="1" x14ac:dyDescent="0.2">
      <c r="B83" s="8"/>
      <c r="C83" s="63" t="s">
        <v>96</v>
      </c>
      <c r="D83" s="62"/>
      <c r="E83" s="63"/>
      <c r="F83" s="108"/>
      <c r="G83" s="108"/>
      <c r="H83" s="63"/>
      <c r="I83" s="63"/>
      <c r="J83" s="63"/>
      <c r="K83" s="63"/>
      <c r="L83" s="8"/>
    </row>
    <row r="84" spans="2:12" s="9" customFormat="1" ht="13.5" customHeight="1" x14ac:dyDescent="0.2">
      <c r="B84" s="10"/>
      <c r="C84" s="98" t="s">
        <v>97</v>
      </c>
      <c r="D84" s="70" t="s">
        <v>20</v>
      </c>
      <c r="E84" s="103" t="s">
        <v>28</v>
      </c>
      <c r="F84" s="72">
        <v>24.8</v>
      </c>
      <c r="G84" s="73" t="s">
        <v>98</v>
      </c>
      <c r="H84" s="71" t="s">
        <v>99</v>
      </c>
      <c r="I84" s="73"/>
      <c r="J84" s="75">
        <f>I84*1240</f>
        <v>0</v>
      </c>
      <c r="K84" s="74"/>
      <c r="L84" s="11"/>
    </row>
    <row r="85" spans="2:12" s="9" customFormat="1" ht="13.5" customHeight="1" x14ac:dyDescent="0.2">
      <c r="B85" s="10"/>
      <c r="C85" s="98" t="s">
        <v>100</v>
      </c>
      <c r="D85" s="70" t="s">
        <v>20</v>
      </c>
      <c r="E85" s="103" t="s">
        <v>28</v>
      </c>
      <c r="F85" s="72">
        <v>28.96</v>
      </c>
      <c r="G85" s="73" t="s">
        <v>98</v>
      </c>
      <c r="H85" s="71" t="s">
        <v>99</v>
      </c>
      <c r="I85" s="73"/>
      <c r="J85" s="75">
        <f>I85*1448</f>
        <v>0</v>
      </c>
      <c r="K85" s="74"/>
      <c r="L85" s="11"/>
    </row>
    <row r="86" spans="2:12" s="9" customFormat="1" ht="13.5" customHeight="1" x14ac:dyDescent="0.2">
      <c r="B86" s="10"/>
      <c r="C86" s="97" t="s">
        <v>101</v>
      </c>
      <c r="D86" s="64" t="s">
        <v>20</v>
      </c>
      <c r="E86" s="102" t="s">
        <v>30</v>
      </c>
      <c r="F86" s="66">
        <v>34</v>
      </c>
      <c r="G86" s="67" t="s">
        <v>98</v>
      </c>
      <c r="H86" s="65" t="s">
        <v>102</v>
      </c>
      <c r="I86" s="67"/>
      <c r="J86" s="69">
        <f>I86*102</f>
        <v>0</v>
      </c>
      <c r="K86" s="68"/>
      <c r="L86" s="11"/>
    </row>
    <row r="87" spans="2:12" s="9" customFormat="1" ht="13.5" customHeight="1" x14ac:dyDescent="0.2">
      <c r="B87" s="10"/>
      <c r="C87" s="98" t="s">
        <v>103</v>
      </c>
      <c r="D87" s="70" t="s">
        <v>20</v>
      </c>
      <c r="E87" s="103" t="s">
        <v>28</v>
      </c>
      <c r="F87" s="72">
        <v>34.24</v>
      </c>
      <c r="G87" s="73" t="s">
        <v>98</v>
      </c>
      <c r="H87" s="71" t="s">
        <v>99</v>
      </c>
      <c r="I87" s="73"/>
      <c r="J87" s="75">
        <f>I87*1712</f>
        <v>0</v>
      </c>
      <c r="K87" s="74"/>
      <c r="L87" s="11"/>
    </row>
    <row r="88" spans="2:12" s="9" customFormat="1" ht="13.5" customHeight="1" x14ac:dyDescent="0.2">
      <c r="B88" s="10"/>
      <c r="C88" s="98" t="s">
        <v>104</v>
      </c>
      <c r="D88" s="70" t="s">
        <v>20</v>
      </c>
      <c r="E88" s="103" t="s">
        <v>28</v>
      </c>
      <c r="F88" s="72">
        <v>34.24</v>
      </c>
      <c r="G88" s="73" t="s">
        <v>98</v>
      </c>
      <c r="H88" s="71" t="s">
        <v>105</v>
      </c>
      <c r="I88" s="73"/>
      <c r="J88" s="75">
        <f>I88*1198.4</f>
        <v>0</v>
      </c>
      <c r="K88" s="74"/>
      <c r="L88" s="11"/>
    </row>
    <row r="89" spans="2:12" s="9" customFormat="1" ht="13.5" customHeight="1" x14ac:dyDescent="0.2">
      <c r="B89" s="10"/>
      <c r="C89" s="98" t="s">
        <v>106</v>
      </c>
      <c r="D89" s="70" t="s">
        <v>20</v>
      </c>
      <c r="E89" s="103" t="s">
        <v>28</v>
      </c>
      <c r="F89" s="72">
        <v>41.12</v>
      </c>
      <c r="G89" s="73" t="s">
        <v>98</v>
      </c>
      <c r="H89" s="71" t="s">
        <v>107</v>
      </c>
      <c r="I89" s="73"/>
      <c r="J89" s="75">
        <f>I89*1028</f>
        <v>0</v>
      </c>
      <c r="K89" s="74"/>
      <c r="L89" s="11"/>
    </row>
    <row r="90" spans="2:12" s="9" customFormat="1" ht="13.5" customHeight="1" x14ac:dyDescent="0.2">
      <c r="B90" s="10"/>
      <c r="C90" s="98" t="s">
        <v>108</v>
      </c>
      <c r="D90" s="70" t="s">
        <v>20</v>
      </c>
      <c r="E90" s="103" t="s">
        <v>109</v>
      </c>
      <c r="F90" s="72">
        <v>41.6</v>
      </c>
      <c r="G90" s="73" t="s">
        <v>98</v>
      </c>
      <c r="H90" s="71" t="s">
        <v>110</v>
      </c>
      <c r="I90" s="73"/>
      <c r="J90" s="75">
        <f>I90*1331.2</f>
        <v>0</v>
      </c>
      <c r="K90" s="74"/>
      <c r="L90" s="11"/>
    </row>
    <row r="91" spans="2:12" s="9" customFormat="1" ht="13.5" customHeight="1" x14ac:dyDescent="0.2">
      <c r="B91" s="10"/>
      <c r="C91" s="98" t="s">
        <v>111</v>
      </c>
      <c r="D91" s="70" t="s">
        <v>20</v>
      </c>
      <c r="E91" s="103" t="s">
        <v>109</v>
      </c>
      <c r="F91" s="72">
        <v>42.24</v>
      </c>
      <c r="G91" s="73" t="s">
        <v>98</v>
      </c>
      <c r="H91" s="71" t="s">
        <v>110</v>
      </c>
      <c r="I91" s="73"/>
      <c r="J91" s="75">
        <f>I91*1351.68</f>
        <v>0</v>
      </c>
      <c r="K91" s="74"/>
      <c r="L91" s="11"/>
    </row>
    <row r="92" spans="2:12" s="9" customFormat="1" ht="13.5" customHeight="1" x14ac:dyDescent="0.2">
      <c r="B92" s="10"/>
      <c r="C92" s="97" t="s">
        <v>112</v>
      </c>
      <c r="D92" s="64" t="s">
        <v>20</v>
      </c>
      <c r="E92" s="102" t="s">
        <v>30</v>
      </c>
      <c r="F92" s="66">
        <v>44.6</v>
      </c>
      <c r="G92" s="67" t="s">
        <v>98</v>
      </c>
      <c r="H92" s="65" t="s">
        <v>102</v>
      </c>
      <c r="I92" s="67"/>
      <c r="J92" s="69">
        <f>I92*133.8</f>
        <v>0</v>
      </c>
      <c r="K92" s="68"/>
      <c r="L92" s="11"/>
    </row>
    <row r="93" spans="2:12" s="9" customFormat="1" ht="13.5" customHeight="1" x14ac:dyDescent="0.2">
      <c r="B93" s="10"/>
      <c r="C93" s="98" t="s">
        <v>113</v>
      </c>
      <c r="D93" s="70" t="s">
        <v>20</v>
      </c>
      <c r="E93" s="103" t="s">
        <v>28</v>
      </c>
      <c r="F93" s="72">
        <v>45.6</v>
      </c>
      <c r="G93" s="73" t="s">
        <v>98</v>
      </c>
      <c r="H93" s="71" t="s">
        <v>107</v>
      </c>
      <c r="I93" s="73"/>
      <c r="J93" s="75">
        <f>I93*1140</f>
        <v>0</v>
      </c>
      <c r="K93" s="74"/>
      <c r="L93" s="11"/>
    </row>
    <row r="94" spans="2:12" s="9" customFormat="1" ht="13.5" customHeight="1" x14ac:dyDescent="0.2">
      <c r="B94" s="10"/>
      <c r="C94" s="98" t="s">
        <v>114</v>
      </c>
      <c r="D94" s="70" t="s">
        <v>20</v>
      </c>
      <c r="E94" s="103" t="s">
        <v>28</v>
      </c>
      <c r="F94" s="72">
        <v>47.2</v>
      </c>
      <c r="G94" s="73" t="s">
        <v>98</v>
      </c>
      <c r="H94" s="71" t="s">
        <v>107</v>
      </c>
      <c r="I94" s="73"/>
      <c r="J94" s="75">
        <f>I94*1180</f>
        <v>0</v>
      </c>
      <c r="K94" s="74"/>
      <c r="L94" s="11"/>
    </row>
    <row r="95" spans="2:12" s="9" customFormat="1" ht="13.5" customHeight="1" x14ac:dyDescent="0.2">
      <c r="B95" s="10"/>
      <c r="C95" s="98" t="s">
        <v>115</v>
      </c>
      <c r="D95" s="70" t="s">
        <v>20</v>
      </c>
      <c r="E95" s="103" t="s">
        <v>30</v>
      </c>
      <c r="F95" s="72">
        <v>47.75</v>
      </c>
      <c r="G95" s="73" t="s">
        <v>98</v>
      </c>
      <c r="H95" s="71" t="s">
        <v>102</v>
      </c>
      <c r="I95" s="73"/>
      <c r="J95" s="75">
        <f>I95*143.25</f>
        <v>0</v>
      </c>
      <c r="K95" s="74"/>
      <c r="L95" s="11"/>
    </row>
    <row r="96" spans="2:12" s="9" customFormat="1" ht="13.5" customHeight="1" x14ac:dyDescent="0.2">
      <c r="B96" s="10"/>
      <c r="C96" s="98" t="s">
        <v>116</v>
      </c>
      <c r="D96" s="70" t="s">
        <v>20</v>
      </c>
      <c r="E96" s="103" t="s">
        <v>30</v>
      </c>
      <c r="F96" s="72">
        <v>48.11</v>
      </c>
      <c r="G96" s="73" t="s">
        <v>98</v>
      </c>
      <c r="H96" s="71" t="s">
        <v>102</v>
      </c>
      <c r="I96" s="73"/>
      <c r="J96" s="75">
        <f>I96*144.33</f>
        <v>0</v>
      </c>
      <c r="K96" s="74"/>
      <c r="L96" s="11"/>
    </row>
    <row r="97" spans="2:12" s="9" customFormat="1" ht="13.5" customHeight="1" x14ac:dyDescent="0.2">
      <c r="B97" s="10"/>
      <c r="C97" s="97" t="s">
        <v>117</v>
      </c>
      <c r="D97" s="64" t="s">
        <v>20</v>
      </c>
      <c r="E97" s="102" t="s">
        <v>30</v>
      </c>
      <c r="F97" s="66">
        <v>49.72</v>
      </c>
      <c r="G97" s="67" t="s">
        <v>98</v>
      </c>
      <c r="H97" s="65" t="s">
        <v>118</v>
      </c>
      <c r="I97" s="67"/>
      <c r="J97" s="69">
        <f>I97*49.72</f>
        <v>0</v>
      </c>
      <c r="K97" s="68"/>
      <c r="L97" s="11"/>
    </row>
    <row r="98" spans="2:12" s="9" customFormat="1" ht="13.5" customHeight="1" x14ac:dyDescent="0.2">
      <c r="B98" s="10"/>
      <c r="C98" s="98" t="s">
        <v>119</v>
      </c>
      <c r="D98" s="70" t="s">
        <v>20</v>
      </c>
      <c r="E98" s="103" t="s">
        <v>30</v>
      </c>
      <c r="F98" s="72">
        <v>49.92</v>
      </c>
      <c r="G98" s="73" t="s">
        <v>98</v>
      </c>
      <c r="H98" s="71" t="s">
        <v>118</v>
      </c>
      <c r="I98" s="73"/>
      <c r="J98" s="75">
        <f>I98*49.92</f>
        <v>0</v>
      </c>
      <c r="K98" s="74"/>
      <c r="L98" s="11"/>
    </row>
    <row r="99" spans="2:12" s="9" customFormat="1" ht="13.5" customHeight="1" x14ac:dyDescent="0.2">
      <c r="B99" s="10"/>
      <c r="C99" s="98" t="s">
        <v>120</v>
      </c>
      <c r="D99" s="70" t="s">
        <v>20</v>
      </c>
      <c r="E99" s="103" t="s">
        <v>30</v>
      </c>
      <c r="F99" s="72">
        <v>49.92</v>
      </c>
      <c r="G99" s="73" t="s">
        <v>98</v>
      </c>
      <c r="H99" s="71" t="s">
        <v>118</v>
      </c>
      <c r="I99" s="73"/>
      <c r="J99" s="75">
        <f>I99*49.92</f>
        <v>0</v>
      </c>
      <c r="K99" s="74"/>
      <c r="L99" s="11"/>
    </row>
    <row r="100" spans="2:12" s="9" customFormat="1" ht="13.5" customHeight="1" x14ac:dyDescent="0.2">
      <c r="B100" s="10"/>
      <c r="C100" s="98" t="s">
        <v>121</v>
      </c>
      <c r="D100" s="70" t="s">
        <v>20</v>
      </c>
      <c r="E100" s="103" t="s">
        <v>28</v>
      </c>
      <c r="F100" s="72">
        <v>51.68</v>
      </c>
      <c r="G100" s="73" t="s">
        <v>98</v>
      </c>
      <c r="H100" s="71" t="s">
        <v>107</v>
      </c>
      <c r="I100" s="73"/>
      <c r="J100" s="75">
        <f>I100*1292</f>
        <v>0</v>
      </c>
      <c r="K100" s="74"/>
      <c r="L100" s="11"/>
    </row>
    <row r="101" spans="2:12" s="9" customFormat="1" ht="13.5" customHeight="1" x14ac:dyDescent="0.2">
      <c r="B101" s="10"/>
      <c r="C101" s="98" t="s">
        <v>122</v>
      </c>
      <c r="D101" s="70" t="s">
        <v>20</v>
      </c>
      <c r="E101" s="103" t="s">
        <v>30</v>
      </c>
      <c r="F101" s="72">
        <v>60.8</v>
      </c>
      <c r="G101" s="73" t="s">
        <v>98</v>
      </c>
      <c r="H101" s="71" t="s">
        <v>118</v>
      </c>
      <c r="I101" s="73"/>
      <c r="J101" s="75">
        <f>I101*60.8</f>
        <v>0</v>
      </c>
      <c r="K101" s="74"/>
      <c r="L101" s="11"/>
    </row>
    <row r="102" spans="2:12" s="9" customFormat="1" ht="13.5" customHeight="1" x14ac:dyDescent="0.2">
      <c r="B102" s="10"/>
      <c r="C102" s="98" t="s">
        <v>123</v>
      </c>
      <c r="D102" s="70" t="s">
        <v>20</v>
      </c>
      <c r="E102" s="103" t="s">
        <v>30</v>
      </c>
      <c r="F102" s="72">
        <v>64.78</v>
      </c>
      <c r="G102" s="73" t="s">
        <v>98</v>
      </c>
      <c r="H102" s="71" t="s">
        <v>102</v>
      </c>
      <c r="I102" s="73"/>
      <c r="J102" s="75">
        <f>I102*194.34</f>
        <v>0</v>
      </c>
      <c r="K102" s="74"/>
      <c r="L102" s="11"/>
    </row>
    <row r="103" spans="2:12" s="9" customFormat="1" ht="13.5" customHeight="1" x14ac:dyDescent="0.2">
      <c r="B103" s="10"/>
      <c r="C103" s="98" t="s">
        <v>124</v>
      </c>
      <c r="D103" s="70" t="s">
        <v>20</v>
      </c>
      <c r="E103" s="103" t="s">
        <v>30</v>
      </c>
      <c r="F103" s="72">
        <v>72.319999999999993</v>
      </c>
      <c r="G103" s="73" t="s">
        <v>98</v>
      </c>
      <c r="H103" s="71" t="s">
        <v>118</v>
      </c>
      <c r="I103" s="73"/>
      <c r="J103" s="75">
        <f>I103*72.32</f>
        <v>0</v>
      </c>
      <c r="K103" s="74"/>
      <c r="L103" s="11"/>
    </row>
    <row r="104" spans="2:12" s="9" customFormat="1" ht="13.5" customHeight="1" x14ac:dyDescent="0.2">
      <c r="B104" s="10"/>
      <c r="C104" s="98" t="s">
        <v>125</v>
      </c>
      <c r="D104" s="70" t="s">
        <v>20</v>
      </c>
      <c r="E104" s="103" t="s">
        <v>30</v>
      </c>
      <c r="F104" s="72">
        <v>80</v>
      </c>
      <c r="G104" s="73" t="s">
        <v>98</v>
      </c>
      <c r="H104" s="71" t="s">
        <v>118</v>
      </c>
      <c r="I104" s="73"/>
      <c r="J104" s="75">
        <f>I104*80</f>
        <v>0</v>
      </c>
      <c r="K104" s="74"/>
      <c r="L104" s="11"/>
    </row>
    <row r="105" spans="2:12" s="9" customFormat="1" ht="13.5" customHeight="1" x14ac:dyDescent="0.2">
      <c r="B105" s="10"/>
      <c r="C105" s="98" t="s">
        <v>126</v>
      </c>
      <c r="D105" s="70" t="s">
        <v>20</v>
      </c>
      <c r="E105" s="103" t="s">
        <v>30</v>
      </c>
      <c r="F105" s="72">
        <v>88.32</v>
      </c>
      <c r="G105" s="73" t="s">
        <v>98</v>
      </c>
      <c r="H105" s="71" t="s">
        <v>118</v>
      </c>
      <c r="I105" s="73"/>
      <c r="J105" s="75">
        <f>I105*88.32</f>
        <v>0</v>
      </c>
      <c r="K105" s="74"/>
      <c r="L105" s="11"/>
    </row>
    <row r="106" spans="2:12" s="1" customFormat="1" ht="44.1" customHeight="1" x14ac:dyDescent="0.2">
      <c r="B106" s="8"/>
      <c r="C106" s="63" t="s">
        <v>127</v>
      </c>
      <c r="D106" s="62"/>
      <c r="E106" s="63"/>
      <c r="F106" s="108"/>
      <c r="G106" s="108"/>
      <c r="H106" s="63"/>
      <c r="I106" s="63"/>
      <c r="J106" s="63"/>
      <c r="K106" s="63"/>
      <c r="L106" s="8"/>
    </row>
    <row r="107" spans="2:12" s="9" customFormat="1" ht="13.5" customHeight="1" x14ac:dyDescent="0.2">
      <c r="B107" s="10"/>
      <c r="C107" s="98" t="s">
        <v>128</v>
      </c>
      <c r="D107" s="70" t="s">
        <v>20</v>
      </c>
      <c r="E107" s="103" t="s">
        <v>30</v>
      </c>
      <c r="F107" s="72">
        <v>40</v>
      </c>
      <c r="G107" s="73" t="s">
        <v>98</v>
      </c>
      <c r="H107" s="71" t="s">
        <v>129</v>
      </c>
      <c r="I107" s="73"/>
      <c r="J107" s="75">
        <f>I107*160</f>
        <v>0</v>
      </c>
      <c r="K107" s="74"/>
      <c r="L107" s="11"/>
    </row>
    <row r="108" spans="2:12" s="9" customFormat="1" ht="13.5" customHeight="1" x14ac:dyDescent="0.2">
      <c r="B108" s="10"/>
      <c r="C108" s="98" t="s">
        <v>130</v>
      </c>
      <c r="D108" s="70" t="s">
        <v>20</v>
      </c>
      <c r="E108" s="103" t="s">
        <v>30</v>
      </c>
      <c r="F108" s="72">
        <v>42</v>
      </c>
      <c r="G108" s="73" t="s">
        <v>98</v>
      </c>
      <c r="H108" s="71" t="s">
        <v>129</v>
      </c>
      <c r="I108" s="73"/>
      <c r="J108" s="75">
        <f>I108*168</f>
        <v>0</v>
      </c>
      <c r="K108" s="74"/>
      <c r="L108" s="11"/>
    </row>
    <row r="109" spans="2:12" s="9" customFormat="1" ht="13.5" customHeight="1" x14ac:dyDescent="0.2">
      <c r="B109" s="10"/>
      <c r="C109" s="98" t="s">
        <v>131</v>
      </c>
      <c r="D109" s="70" t="s">
        <v>20</v>
      </c>
      <c r="E109" s="103" t="s">
        <v>28</v>
      </c>
      <c r="F109" s="72">
        <v>235.68</v>
      </c>
      <c r="G109" s="73" t="s">
        <v>98</v>
      </c>
      <c r="H109" s="71" t="s">
        <v>118</v>
      </c>
      <c r="I109" s="73"/>
      <c r="J109" s="75">
        <f>I109*235.68</f>
        <v>0</v>
      </c>
      <c r="K109" s="74"/>
      <c r="L109" s="11"/>
    </row>
    <row r="110" spans="2:12" s="9" customFormat="1" ht="13.5" customHeight="1" x14ac:dyDescent="0.2">
      <c r="B110" s="10"/>
      <c r="C110" s="98" t="s">
        <v>132</v>
      </c>
      <c r="D110" s="70" t="s">
        <v>20</v>
      </c>
      <c r="E110" s="103" t="s">
        <v>28</v>
      </c>
      <c r="F110" s="72">
        <v>252.32</v>
      </c>
      <c r="G110" s="73" t="s">
        <v>98</v>
      </c>
      <c r="H110" s="71" t="s">
        <v>118</v>
      </c>
      <c r="I110" s="73"/>
      <c r="J110" s="75">
        <f>I110*252.32</f>
        <v>0</v>
      </c>
      <c r="K110" s="74"/>
      <c r="L110" s="11"/>
    </row>
    <row r="111" spans="2:12" s="9" customFormat="1" ht="13.5" customHeight="1" x14ac:dyDescent="0.2">
      <c r="B111" s="10"/>
      <c r="C111" s="98" t="s">
        <v>133</v>
      </c>
      <c r="D111" s="70" t="s">
        <v>20</v>
      </c>
      <c r="E111" s="103" t="s">
        <v>28</v>
      </c>
      <c r="F111" s="72">
        <v>252.32</v>
      </c>
      <c r="G111" s="73" t="s">
        <v>98</v>
      </c>
      <c r="H111" s="71" t="s">
        <v>118</v>
      </c>
      <c r="I111" s="73"/>
      <c r="J111" s="75">
        <f>I111*252.32</f>
        <v>0</v>
      </c>
      <c r="K111" s="74"/>
      <c r="L111" s="11"/>
    </row>
    <row r="112" spans="2:12" s="9" customFormat="1" ht="13.5" customHeight="1" x14ac:dyDescent="0.2">
      <c r="B112" s="10"/>
      <c r="C112" s="98" t="s">
        <v>134</v>
      </c>
      <c r="D112" s="70" t="s">
        <v>20</v>
      </c>
      <c r="E112" s="103" t="s">
        <v>28</v>
      </c>
      <c r="F112" s="72">
        <v>264.48</v>
      </c>
      <c r="G112" s="73" t="s">
        <v>98</v>
      </c>
      <c r="H112" s="71" t="s">
        <v>118</v>
      </c>
      <c r="I112" s="73"/>
      <c r="J112" s="75">
        <f>I112*264.48</f>
        <v>0</v>
      </c>
      <c r="K112" s="74"/>
      <c r="L112" s="11"/>
    </row>
    <row r="113" spans="2:12" s="9" customFormat="1" ht="13.5" customHeight="1" x14ac:dyDescent="0.2">
      <c r="B113" s="10"/>
      <c r="C113" s="98" t="s">
        <v>135</v>
      </c>
      <c r="D113" s="70" t="s">
        <v>20</v>
      </c>
      <c r="E113" s="103" t="s">
        <v>28</v>
      </c>
      <c r="F113" s="72">
        <v>296.48</v>
      </c>
      <c r="G113" s="73" t="s">
        <v>98</v>
      </c>
      <c r="H113" s="71" t="s">
        <v>118</v>
      </c>
      <c r="I113" s="73"/>
      <c r="J113" s="75">
        <f>I113*296.48</f>
        <v>0</v>
      </c>
      <c r="K113" s="74"/>
      <c r="L113" s="11"/>
    </row>
    <row r="114" spans="2:12" s="1" customFormat="1" ht="44.1" customHeight="1" x14ac:dyDescent="0.2">
      <c r="B114" s="8"/>
      <c r="C114" s="63" t="s">
        <v>136</v>
      </c>
      <c r="D114" s="62"/>
      <c r="E114" s="63"/>
      <c r="F114" s="108"/>
      <c r="G114" s="108"/>
      <c r="H114" s="63"/>
      <c r="I114" s="63"/>
      <c r="J114" s="63"/>
      <c r="K114" s="63"/>
      <c r="L114" s="8"/>
    </row>
    <row r="115" spans="2:12" s="9" customFormat="1" ht="13.5" customHeight="1" x14ac:dyDescent="0.2">
      <c r="B115" s="10"/>
      <c r="C115" s="98" t="s">
        <v>137</v>
      </c>
      <c r="D115" s="70" t="s">
        <v>20</v>
      </c>
      <c r="E115" s="103" t="s">
        <v>138</v>
      </c>
      <c r="F115" s="72">
        <v>320</v>
      </c>
      <c r="G115" s="73" t="s">
        <v>98</v>
      </c>
      <c r="H115" s="71" t="s">
        <v>118</v>
      </c>
      <c r="I115" s="73"/>
      <c r="J115" s="75">
        <f>I115*320</f>
        <v>0</v>
      </c>
      <c r="K115" s="74"/>
      <c r="L115" s="11"/>
    </row>
    <row r="116" spans="2:12" s="9" customFormat="1" ht="13.5" customHeight="1" x14ac:dyDescent="0.2">
      <c r="B116" s="10"/>
      <c r="C116" s="99" t="s">
        <v>139</v>
      </c>
      <c r="D116" s="76" t="s">
        <v>20</v>
      </c>
      <c r="E116" s="104" t="s">
        <v>138</v>
      </c>
      <c r="F116" s="81">
        <v>1500</v>
      </c>
      <c r="G116" s="79" t="s">
        <v>22</v>
      </c>
      <c r="H116" s="77" t="s">
        <v>26</v>
      </c>
      <c r="I116" s="79"/>
      <c r="J116" s="81">
        <f>I116*1500</f>
        <v>0</v>
      </c>
      <c r="K116" s="80"/>
      <c r="L116" s="11"/>
    </row>
    <row r="117" spans="2:12" s="9" customFormat="1" ht="13.5" customHeight="1" x14ac:dyDescent="0.2">
      <c r="B117" s="10"/>
      <c r="C117" s="98" t="s">
        <v>140</v>
      </c>
      <c r="D117" s="70" t="s">
        <v>20</v>
      </c>
      <c r="E117" s="103" t="s">
        <v>138</v>
      </c>
      <c r="F117" s="75">
        <v>1500</v>
      </c>
      <c r="G117" s="73" t="s">
        <v>22</v>
      </c>
      <c r="H117" s="71" t="s">
        <v>26</v>
      </c>
      <c r="I117" s="73"/>
      <c r="J117" s="75">
        <f>I117*1500</f>
        <v>0</v>
      </c>
      <c r="K117" s="74"/>
      <c r="L117" s="11"/>
    </row>
    <row r="118" spans="2:12" s="1" customFormat="1" ht="44.1" customHeight="1" x14ac:dyDescent="0.2">
      <c r="B118" s="8"/>
      <c r="C118" s="63" t="s">
        <v>141</v>
      </c>
      <c r="D118" s="62"/>
      <c r="E118" s="63"/>
      <c r="F118" s="108"/>
      <c r="G118" s="108"/>
      <c r="H118" s="63"/>
      <c r="I118" s="63"/>
      <c r="J118" s="63"/>
      <c r="K118" s="63"/>
      <c r="L118" s="8"/>
    </row>
    <row r="119" spans="2:12" s="9" customFormat="1" ht="13.5" customHeight="1" x14ac:dyDescent="0.2">
      <c r="B119" s="10"/>
      <c r="C119" s="98" t="s">
        <v>142</v>
      </c>
      <c r="D119" s="70" t="s">
        <v>20</v>
      </c>
      <c r="E119" s="103" t="s">
        <v>109</v>
      </c>
      <c r="F119" s="72">
        <v>64.8</v>
      </c>
      <c r="G119" s="73" t="s">
        <v>98</v>
      </c>
      <c r="H119" s="71" t="s">
        <v>143</v>
      </c>
      <c r="I119" s="73"/>
      <c r="J119" s="75">
        <f>I119*583.2</f>
        <v>0</v>
      </c>
      <c r="K119" s="74"/>
      <c r="L119" s="11"/>
    </row>
    <row r="120" spans="2:12" s="9" customFormat="1" ht="13.5" customHeight="1" x14ac:dyDescent="0.2">
      <c r="B120" s="10"/>
      <c r="C120" s="98" t="s">
        <v>144</v>
      </c>
      <c r="D120" s="70" t="s">
        <v>20</v>
      </c>
      <c r="E120" s="103" t="s">
        <v>109</v>
      </c>
      <c r="F120" s="72">
        <v>118.8</v>
      </c>
      <c r="G120" s="73" t="s">
        <v>98</v>
      </c>
      <c r="H120" s="71" t="s">
        <v>118</v>
      </c>
      <c r="I120" s="73"/>
      <c r="J120" s="75">
        <f>I120*118.8</f>
        <v>0</v>
      </c>
      <c r="K120" s="74"/>
      <c r="L120" s="11"/>
    </row>
    <row r="121" spans="2:12" s="9" customFormat="1" ht="13.5" customHeight="1" x14ac:dyDescent="0.2">
      <c r="B121" s="10"/>
      <c r="C121" s="98" t="s">
        <v>145</v>
      </c>
      <c r="D121" s="70" t="s">
        <v>20</v>
      </c>
      <c r="E121" s="103" t="s">
        <v>109</v>
      </c>
      <c r="F121" s="72">
        <v>133</v>
      </c>
      <c r="G121" s="73" t="s">
        <v>98</v>
      </c>
      <c r="H121" s="71" t="s">
        <v>143</v>
      </c>
      <c r="I121" s="73"/>
      <c r="J121" s="75">
        <f>I121*1197</f>
        <v>0</v>
      </c>
      <c r="K121" s="74"/>
      <c r="L121" s="11"/>
    </row>
    <row r="122" spans="2:12" s="9" customFormat="1" ht="13.5" customHeight="1" x14ac:dyDescent="0.2">
      <c r="B122" s="10"/>
      <c r="C122" s="97" t="s">
        <v>146</v>
      </c>
      <c r="D122" s="64" t="s">
        <v>20</v>
      </c>
      <c r="E122" s="102" t="s">
        <v>30</v>
      </c>
      <c r="F122" s="66">
        <v>160</v>
      </c>
      <c r="G122" s="67" t="s">
        <v>98</v>
      </c>
      <c r="H122" s="65" t="s">
        <v>118</v>
      </c>
      <c r="I122" s="67"/>
      <c r="J122" s="69">
        <f>I122*160</f>
        <v>0</v>
      </c>
      <c r="K122" s="68"/>
      <c r="L122" s="11"/>
    </row>
    <row r="123" spans="2:12" s="9" customFormat="1" ht="13.5" customHeight="1" x14ac:dyDescent="0.2">
      <c r="B123" s="10"/>
      <c r="C123" s="98" t="s">
        <v>147</v>
      </c>
      <c r="D123" s="70" t="s">
        <v>20</v>
      </c>
      <c r="E123" s="103" t="s">
        <v>28</v>
      </c>
      <c r="F123" s="72">
        <v>167.2</v>
      </c>
      <c r="G123" s="73" t="s">
        <v>22</v>
      </c>
      <c r="H123" s="71" t="s">
        <v>26</v>
      </c>
      <c r="I123" s="73"/>
      <c r="J123" s="75">
        <f>I123*167.2</f>
        <v>0</v>
      </c>
      <c r="K123" s="74"/>
      <c r="L123" s="11"/>
    </row>
    <row r="124" spans="2:12" s="9" customFormat="1" ht="13.5" customHeight="1" x14ac:dyDescent="0.2">
      <c r="B124" s="10"/>
      <c r="C124" s="98" t="s">
        <v>148</v>
      </c>
      <c r="D124" s="70" t="s">
        <v>20</v>
      </c>
      <c r="E124" s="103" t="s">
        <v>28</v>
      </c>
      <c r="F124" s="72">
        <v>167.2</v>
      </c>
      <c r="G124" s="73" t="s">
        <v>22</v>
      </c>
      <c r="H124" s="71" t="s">
        <v>26</v>
      </c>
      <c r="I124" s="73"/>
      <c r="J124" s="75">
        <f>I124*167.2</f>
        <v>0</v>
      </c>
      <c r="K124" s="74"/>
      <c r="L124" s="11"/>
    </row>
    <row r="125" spans="2:12" s="9" customFormat="1" ht="13.5" customHeight="1" x14ac:dyDescent="0.2">
      <c r="B125" s="10"/>
      <c r="C125" s="98" t="s">
        <v>149</v>
      </c>
      <c r="D125" s="70" t="s">
        <v>20</v>
      </c>
      <c r="E125" s="103" t="s">
        <v>28</v>
      </c>
      <c r="F125" s="72">
        <v>182.4</v>
      </c>
      <c r="G125" s="73" t="s">
        <v>22</v>
      </c>
      <c r="H125" s="71" t="s">
        <v>26</v>
      </c>
      <c r="I125" s="73"/>
      <c r="J125" s="75">
        <f>I125*182.4</f>
        <v>0</v>
      </c>
      <c r="K125" s="74"/>
      <c r="L125" s="11"/>
    </row>
    <row r="126" spans="2:12" s="9" customFormat="1" ht="13.5" customHeight="1" x14ac:dyDescent="0.2">
      <c r="B126" s="10"/>
      <c r="C126" s="98" t="s">
        <v>150</v>
      </c>
      <c r="D126" s="70" t="s">
        <v>20</v>
      </c>
      <c r="E126" s="103" t="s">
        <v>28</v>
      </c>
      <c r="F126" s="72">
        <v>212.8</v>
      </c>
      <c r="G126" s="73" t="s">
        <v>22</v>
      </c>
      <c r="H126" s="71" t="s">
        <v>26</v>
      </c>
      <c r="I126" s="73"/>
      <c r="J126" s="75">
        <f>I126*212.8</f>
        <v>0</v>
      </c>
      <c r="K126" s="74"/>
      <c r="L126" s="11"/>
    </row>
    <row r="127" spans="2:12" s="9" customFormat="1" ht="13.5" customHeight="1" x14ac:dyDescent="0.2">
      <c r="B127" s="10"/>
      <c r="C127" s="98" t="s">
        <v>151</v>
      </c>
      <c r="D127" s="70" t="s">
        <v>20</v>
      </c>
      <c r="E127" s="103" t="s">
        <v>28</v>
      </c>
      <c r="F127" s="72">
        <v>212.8</v>
      </c>
      <c r="G127" s="73" t="s">
        <v>22</v>
      </c>
      <c r="H127" s="71" t="s">
        <v>26</v>
      </c>
      <c r="I127" s="73"/>
      <c r="J127" s="75">
        <f>I127*212.8</f>
        <v>0</v>
      </c>
      <c r="K127" s="74"/>
      <c r="L127" s="11"/>
    </row>
    <row r="128" spans="2:12" s="9" customFormat="1" ht="13.5" customHeight="1" x14ac:dyDescent="0.2">
      <c r="B128" s="10"/>
      <c r="C128" s="98" t="s">
        <v>152</v>
      </c>
      <c r="D128" s="70" t="s">
        <v>20</v>
      </c>
      <c r="E128" s="103" t="s">
        <v>28</v>
      </c>
      <c r="F128" s="72">
        <v>235.68</v>
      </c>
      <c r="G128" s="73" t="s">
        <v>22</v>
      </c>
      <c r="H128" s="71" t="s">
        <v>26</v>
      </c>
      <c r="I128" s="73"/>
      <c r="J128" s="75">
        <f>I128*235.68</f>
        <v>0</v>
      </c>
      <c r="K128" s="74"/>
      <c r="L128" s="11"/>
    </row>
    <row r="129" spans="2:12" s="1" customFormat="1" ht="44.1" customHeight="1" x14ac:dyDescent="0.2">
      <c r="B129" s="8"/>
      <c r="C129" s="63" t="s">
        <v>153</v>
      </c>
      <c r="D129" s="62"/>
      <c r="E129" s="63"/>
      <c r="F129" s="108"/>
      <c r="G129" s="108"/>
      <c r="H129" s="63"/>
      <c r="I129" s="63"/>
      <c r="J129" s="63"/>
      <c r="K129" s="63"/>
      <c r="L129" s="8"/>
    </row>
    <row r="130" spans="2:12" s="9" customFormat="1" ht="13.5" customHeight="1" x14ac:dyDescent="0.2">
      <c r="B130" s="10"/>
      <c r="C130" s="100" t="s">
        <v>155</v>
      </c>
      <c r="D130" s="82" t="s">
        <v>20</v>
      </c>
      <c r="E130" s="105" t="s">
        <v>25</v>
      </c>
      <c r="F130" s="84">
        <v>0.97</v>
      </c>
      <c r="G130" s="85" t="s">
        <v>98</v>
      </c>
      <c r="H130" s="83" t="s">
        <v>156</v>
      </c>
      <c r="I130" s="85"/>
      <c r="J130" s="87">
        <f>I130*582</f>
        <v>0</v>
      </c>
      <c r="K130" s="86"/>
      <c r="L130" s="11"/>
    </row>
    <row r="131" spans="2:12" s="9" customFormat="1" ht="13.5" customHeight="1" x14ac:dyDescent="0.2">
      <c r="B131" s="10"/>
      <c r="C131" s="100" t="s">
        <v>157</v>
      </c>
      <c r="D131" s="82" t="s">
        <v>20</v>
      </c>
      <c r="E131" s="105" t="s">
        <v>158</v>
      </c>
      <c r="F131" s="84">
        <v>1.1499999999999999</v>
      </c>
      <c r="G131" s="85" t="s">
        <v>98</v>
      </c>
      <c r="H131" s="83" t="s">
        <v>156</v>
      </c>
      <c r="I131" s="85"/>
      <c r="J131" s="87">
        <f>I131*690</f>
        <v>0</v>
      </c>
      <c r="K131" s="86"/>
      <c r="L131" s="11"/>
    </row>
    <row r="132" spans="2:12" s="9" customFormat="1" ht="13.5" customHeight="1" x14ac:dyDescent="0.2">
      <c r="B132" s="10"/>
      <c r="C132" s="98" t="s">
        <v>159</v>
      </c>
      <c r="D132" s="70" t="s">
        <v>20</v>
      </c>
      <c r="E132" s="103" t="s">
        <v>25</v>
      </c>
      <c r="F132" s="72">
        <v>1.1599999999999999</v>
      </c>
      <c r="G132" s="73" t="s">
        <v>98</v>
      </c>
      <c r="H132" s="71" t="s">
        <v>160</v>
      </c>
      <c r="I132" s="73"/>
      <c r="J132" s="75">
        <f>I132*2900</f>
        <v>0</v>
      </c>
      <c r="K132" s="74"/>
      <c r="L132" s="11"/>
    </row>
    <row r="133" spans="2:12" s="9" customFormat="1" ht="13.5" customHeight="1" x14ac:dyDescent="0.2">
      <c r="B133" s="10"/>
      <c r="C133" s="98" t="s">
        <v>161</v>
      </c>
      <c r="D133" s="70" t="s">
        <v>20</v>
      </c>
      <c r="E133" s="103" t="s">
        <v>21</v>
      </c>
      <c r="F133" s="72">
        <v>1.54</v>
      </c>
      <c r="G133" s="73" t="s">
        <v>98</v>
      </c>
      <c r="H133" s="71" t="s">
        <v>162</v>
      </c>
      <c r="I133" s="73"/>
      <c r="J133" s="75">
        <f>I133*1108.8</f>
        <v>0</v>
      </c>
      <c r="K133" s="74"/>
      <c r="L133" s="11"/>
    </row>
    <row r="134" spans="2:12" s="9" customFormat="1" ht="13.5" customHeight="1" x14ac:dyDescent="0.2">
      <c r="B134" s="10"/>
      <c r="C134" s="98" t="s">
        <v>163</v>
      </c>
      <c r="D134" s="70" t="s">
        <v>20</v>
      </c>
      <c r="E134" s="103" t="s">
        <v>164</v>
      </c>
      <c r="F134" s="72">
        <v>1.75</v>
      </c>
      <c r="G134" s="73" t="s">
        <v>98</v>
      </c>
      <c r="H134" s="71" t="s">
        <v>162</v>
      </c>
      <c r="I134" s="73"/>
      <c r="J134" s="75">
        <f>I134*1260</f>
        <v>0</v>
      </c>
      <c r="K134" s="74"/>
      <c r="L134" s="11"/>
    </row>
    <row r="135" spans="2:12" s="9" customFormat="1" ht="13.5" customHeight="1" x14ac:dyDescent="0.2">
      <c r="B135" s="10"/>
      <c r="C135" s="98" t="s">
        <v>165</v>
      </c>
      <c r="D135" s="70" t="s">
        <v>20</v>
      </c>
      <c r="E135" s="103" t="s">
        <v>109</v>
      </c>
      <c r="F135" s="72">
        <v>1.89</v>
      </c>
      <c r="G135" s="73" t="s">
        <v>98</v>
      </c>
      <c r="H135" s="71" t="s">
        <v>162</v>
      </c>
      <c r="I135" s="73"/>
      <c r="J135" s="75">
        <f>I135*1360.8</f>
        <v>0</v>
      </c>
      <c r="K135" s="74"/>
      <c r="L135" s="11"/>
    </row>
    <row r="136" spans="2:12" s="9" customFormat="1" ht="13.5" customHeight="1" x14ac:dyDescent="0.2">
      <c r="B136" s="10"/>
      <c r="C136" s="100" t="s">
        <v>166</v>
      </c>
      <c r="D136" s="82" t="s">
        <v>20</v>
      </c>
      <c r="E136" s="105" t="s">
        <v>25</v>
      </c>
      <c r="F136" s="84">
        <v>2.75</v>
      </c>
      <c r="G136" s="85" t="s">
        <v>98</v>
      </c>
      <c r="H136" s="83" t="s">
        <v>167</v>
      </c>
      <c r="I136" s="85"/>
      <c r="J136" s="87">
        <f>I136*550</f>
        <v>0</v>
      </c>
      <c r="K136" s="86"/>
      <c r="L136" s="11"/>
    </row>
    <row r="137" spans="2:12" s="9" customFormat="1" ht="13.5" customHeight="1" x14ac:dyDescent="0.2">
      <c r="B137" s="10"/>
      <c r="C137" s="100" t="s">
        <v>168</v>
      </c>
      <c r="D137" s="82" t="s">
        <v>20</v>
      </c>
      <c r="E137" s="105" t="s">
        <v>158</v>
      </c>
      <c r="F137" s="84">
        <v>2.8</v>
      </c>
      <c r="G137" s="85" t="s">
        <v>98</v>
      </c>
      <c r="H137" s="83" t="s">
        <v>167</v>
      </c>
      <c r="I137" s="85"/>
      <c r="J137" s="87">
        <f>I137*560</f>
        <v>0</v>
      </c>
      <c r="K137" s="86"/>
      <c r="L137" s="11"/>
    </row>
    <row r="138" spans="2:12" s="9" customFormat="1" ht="13.5" customHeight="1" x14ac:dyDescent="0.2">
      <c r="B138" s="10"/>
      <c r="C138" s="98" t="s">
        <v>169</v>
      </c>
      <c r="D138" s="70" t="s">
        <v>20</v>
      </c>
      <c r="E138" s="103" t="s">
        <v>25</v>
      </c>
      <c r="F138" s="72">
        <v>3.76</v>
      </c>
      <c r="G138" s="73" t="s">
        <v>98</v>
      </c>
      <c r="H138" s="71" t="s">
        <v>99</v>
      </c>
      <c r="I138" s="73"/>
      <c r="J138" s="75">
        <f>I138*188</f>
        <v>0</v>
      </c>
      <c r="K138" s="74"/>
      <c r="L138" s="11"/>
    </row>
    <row r="139" spans="2:12" s="9" customFormat="1" ht="13.5" customHeight="1" x14ac:dyDescent="0.2">
      <c r="B139" s="10"/>
      <c r="C139" s="98" t="s">
        <v>170</v>
      </c>
      <c r="D139" s="70" t="s">
        <v>20</v>
      </c>
      <c r="E139" s="103" t="s">
        <v>109</v>
      </c>
      <c r="F139" s="72">
        <v>3.89</v>
      </c>
      <c r="G139" s="73" t="s">
        <v>98</v>
      </c>
      <c r="H139" s="71" t="s">
        <v>167</v>
      </c>
      <c r="I139" s="73"/>
      <c r="J139" s="75">
        <f>I139*778</f>
        <v>0</v>
      </c>
      <c r="K139" s="74"/>
      <c r="L139" s="11"/>
    </row>
    <row r="140" spans="2:12" s="9" customFormat="1" ht="13.5" customHeight="1" x14ac:dyDescent="0.2">
      <c r="B140" s="10"/>
      <c r="C140" s="100" t="s">
        <v>171</v>
      </c>
      <c r="D140" s="82" t="s">
        <v>20</v>
      </c>
      <c r="E140" s="105" t="s">
        <v>25</v>
      </c>
      <c r="F140" s="84">
        <v>4.1399999999999997</v>
      </c>
      <c r="G140" s="85" t="s">
        <v>98</v>
      </c>
      <c r="H140" s="83" t="s">
        <v>99</v>
      </c>
      <c r="I140" s="85"/>
      <c r="J140" s="87">
        <f>I140*207</f>
        <v>0</v>
      </c>
      <c r="K140" s="86"/>
      <c r="L140" s="11"/>
    </row>
    <row r="141" spans="2:12" s="9" customFormat="1" ht="13.5" customHeight="1" x14ac:dyDescent="0.2">
      <c r="B141" s="10"/>
      <c r="C141" s="98" t="s">
        <v>172</v>
      </c>
      <c r="D141" s="70" t="s">
        <v>20</v>
      </c>
      <c r="E141" s="103" t="s">
        <v>158</v>
      </c>
      <c r="F141" s="72">
        <v>4.4000000000000004</v>
      </c>
      <c r="G141" s="73" t="s">
        <v>98</v>
      </c>
      <c r="H141" s="71" t="s">
        <v>167</v>
      </c>
      <c r="I141" s="73"/>
      <c r="J141" s="75">
        <f>I141*880</f>
        <v>0</v>
      </c>
      <c r="K141" s="74"/>
      <c r="L141" s="11"/>
    </row>
    <row r="142" spans="2:12" s="9" customFormat="1" ht="13.5" customHeight="1" x14ac:dyDescent="0.2">
      <c r="B142" s="10"/>
      <c r="C142" s="98" t="s">
        <v>173</v>
      </c>
      <c r="D142" s="70" t="s">
        <v>20</v>
      </c>
      <c r="E142" s="103" t="s">
        <v>25</v>
      </c>
      <c r="F142" s="72">
        <v>4.5599999999999996</v>
      </c>
      <c r="G142" s="73" t="s">
        <v>98</v>
      </c>
      <c r="H142" s="71" t="s">
        <v>99</v>
      </c>
      <c r="I142" s="73"/>
      <c r="J142" s="75">
        <f>I142*228</f>
        <v>0</v>
      </c>
      <c r="K142" s="74"/>
      <c r="L142" s="11"/>
    </row>
    <row r="143" spans="2:12" s="9" customFormat="1" ht="13.5" customHeight="1" x14ac:dyDescent="0.2">
      <c r="B143" s="10"/>
      <c r="C143" s="98" t="s">
        <v>174</v>
      </c>
      <c r="D143" s="70" t="s">
        <v>20</v>
      </c>
      <c r="E143" s="103" t="s">
        <v>164</v>
      </c>
      <c r="F143" s="72">
        <v>4.8</v>
      </c>
      <c r="G143" s="73" t="s">
        <v>98</v>
      </c>
      <c r="H143" s="71" t="s">
        <v>175</v>
      </c>
      <c r="I143" s="73"/>
      <c r="J143" s="75">
        <f>I143*1440</f>
        <v>0</v>
      </c>
      <c r="K143" s="74"/>
      <c r="L143" s="11"/>
    </row>
    <row r="144" spans="2:12" s="9" customFormat="1" ht="13.5" customHeight="1" x14ac:dyDescent="0.2">
      <c r="B144" s="10"/>
      <c r="C144" s="98" t="s">
        <v>176</v>
      </c>
      <c r="D144" s="70" t="s">
        <v>20</v>
      </c>
      <c r="E144" s="103" t="s">
        <v>21</v>
      </c>
      <c r="F144" s="72">
        <v>4.8</v>
      </c>
      <c r="G144" s="73" t="s">
        <v>98</v>
      </c>
      <c r="H144" s="71" t="s">
        <v>177</v>
      </c>
      <c r="I144" s="73"/>
      <c r="J144" s="75">
        <f>I144*1152</f>
        <v>0</v>
      </c>
      <c r="K144" s="74"/>
      <c r="L144" s="11"/>
    </row>
    <row r="145" spans="2:12" s="9" customFormat="1" ht="13.5" customHeight="1" x14ac:dyDescent="0.2">
      <c r="B145" s="10"/>
      <c r="C145" s="98" t="s">
        <v>178</v>
      </c>
      <c r="D145" s="70" t="s">
        <v>20</v>
      </c>
      <c r="E145" s="103" t="s">
        <v>158</v>
      </c>
      <c r="F145" s="72">
        <v>4.95</v>
      </c>
      <c r="G145" s="73" t="s">
        <v>98</v>
      </c>
      <c r="H145" s="71" t="s">
        <v>167</v>
      </c>
      <c r="I145" s="73"/>
      <c r="J145" s="75">
        <f>I145*990</f>
        <v>0</v>
      </c>
      <c r="K145" s="74"/>
      <c r="L145" s="11"/>
    </row>
    <row r="146" spans="2:12" s="9" customFormat="1" ht="13.5" customHeight="1" x14ac:dyDescent="0.2">
      <c r="B146" s="10"/>
      <c r="C146" s="98" t="s">
        <v>179</v>
      </c>
      <c r="D146" s="70" t="s">
        <v>20</v>
      </c>
      <c r="E146" s="103" t="s">
        <v>25</v>
      </c>
      <c r="F146" s="72">
        <v>5.18</v>
      </c>
      <c r="G146" s="73" t="s">
        <v>98</v>
      </c>
      <c r="H146" s="71" t="s">
        <v>99</v>
      </c>
      <c r="I146" s="73"/>
      <c r="J146" s="75">
        <f>I146*259</f>
        <v>0</v>
      </c>
      <c r="K146" s="74"/>
      <c r="L146" s="11"/>
    </row>
    <row r="147" spans="2:12" s="9" customFormat="1" ht="13.5" customHeight="1" x14ac:dyDescent="0.2">
      <c r="B147" s="10"/>
      <c r="C147" s="98" t="s">
        <v>180</v>
      </c>
      <c r="D147" s="70" t="s">
        <v>20</v>
      </c>
      <c r="E147" s="103" t="s">
        <v>164</v>
      </c>
      <c r="F147" s="72">
        <v>5.9</v>
      </c>
      <c r="G147" s="73" t="s">
        <v>98</v>
      </c>
      <c r="H147" s="71" t="s">
        <v>181</v>
      </c>
      <c r="I147" s="73"/>
      <c r="J147" s="75">
        <f>I147*708</f>
        <v>0</v>
      </c>
      <c r="K147" s="74"/>
      <c r="L147" s="11"/>
    </row>
    <row r="148" spans="2:12" s="9" customFormat="1" ht="13.5" customHeight="1" x14ac:dyDescent="0.2">
      <c r="B148" s="10"/>
      <c r="C148" s="98" t="s">
        <v>182</v>
      </c>
      <c r="D148" s="70" t="s">
        <v>20</v>
      </c>
      <c r="E148" s="103" t="s">
        <v>109</v>
      </c>
      <c r="F148" s="72">
        <v>6.28</v>
      </c>
      <c r="G148" s="73" t="s">
        <v>98</v>
      </c>
      <c r="H148" s="71" t="s">
        <v>183</v>
      </c>
      <c r="I148" s="73"/>
      <c r="J148" s="75">
        <f>I148*628</f>
        <v>0</v>
      </c>
      <c r="K148" s="74"/>
      <c r="L148" s="11"/>
    </row>
    <row r="149" spans="2:12" s="9" customFormat="1" ht="13.5" customHeight="1" x14ac:dyDescent="0.2">
      <c r="B149" s="10"/>
      <c r="C149" s="98" t="s">
        <v>184</v>
      </c>
      <c r="D149" s="70" t="s">
        <v>20</v>
      </c>
      <c r="E149" s="103" t="s">
        <v>21</v>
      </c>
      <c r="F149" s="72">
        <v>6.75</v>
      </c>
      <c r="G149" s="73" t="s">
        <v>98</v>
      </c>
      <c r="H149" s="71" t="s">
        <v>167</v>
      </c>
      <c r="I149" s="73"/>
      <c r="J149" s="75">
        <f>I149*1350</f>
        <v>0</v>
      </c>
      <c r="K149" s="74"/>
      <c r="L149" s="11"/>
    </row>
    <row r="150" spans="2:12" s="9" customFormat="1" ht="13.5" customHeight="1" x14ac:dyDescent="0.2">
      <c r="B150" s="10"/>
      <c r="C150" s="98" t="s">
        <v>185</v>
      </c>
      <c r="D150" s="70" t="s">
        <v>20</v>
      </c>
      <c r="E150" s="103" t="s">
        <v>164</v>
      </c>
      <c r="F150" s="72">
        <v>7.3</v>
      </c>
      <c r="G150" s="73" t="s">
        <v>98</v>
      </c>
      <c r="H150" s="71" t="s">
        <v>183</v>
      </c>
      <c r="I150" s="73"/>
      <c r="J150" s="75">
        <f>I150*730</f>
        <v>0</v>
      </c>
      <c r="K150" s="74"/>
      <c r="L150" s="11"/>
    </row>
    <row r="151" spans="2:12" s="9" customFormat="1" ht="13.5" customHeight="1" x14ac:dyDescent="0.2">
      <c r="B151" s="10"/>
      <c r="C151" s="98" t="s">
        <v>186</v>
      </c>
      <c r="D151" s="70" t="s">
        <v>20</v>
      </c>
      <c r="E151" s="103" t="s">
        <v>25</v>
      </c>
      <c r="F151" s="72">
        <v>12.51</v>
      </c>
      <c r="G151" s="73" t="s">
        <v>98</v>
      </c>
      <c r="H151" s="71" t="s">
        <v>187</v>
      </c>
      <c r="I151" s="73"/>
      <c r="J151" s="75">
        <f>I151*900.72</f>
        <v>0</v>
      </c>
      <c r="K151" s="74"/>
      <c r="L151" s="11"/>
    </row>
    <row r="152" spans="2:12" s="9" customFormat="1" ht="13.5" customHeight="1" x14ac:dyDescent="0.2">
      <c r="B152" s="10"/>
      <c r="C152" s="99" t="s">
        <v>188</v>
      </c>
      <c r="D152" s="76" t="s">
        <v>20</v>
      </c>
      <c r="E152" s="104" t="s">
        <v>21</v>
      </c>
      <c r="F152" s="78">
        <v>13.5</v>
      </c>
      <c r="G152" s="79" t="s">
        <v>98</v>
      </c>
      <c r="H152" s="77" t="s">
        <v>189</v>
      </c>
      <c r="I152" s="79"/>
      <c r="J152" s="81">
        <f>I152*1944</f>
        <v>0</v>
      </c>
      <c r="K152" s="80"/>
      <c r="L152" s="11"/>
    </row>
    <row r="153" spans="2:12" s="9" customFormat="1" ht="13.5" customHeight="1" x14ac:dyDescent="0.2">
      <c r="B153" s="10"/>
      <c r="C153" s="100" t="s">
        <v>190</v>
      </c>
      <c r="D153" s="82" t="s">
        <v>20</v>
      </c>
      <c r="E153" s="105" t="s">
        <v>25</v>
      </c>
      <c r="F153" s="84">
        <v>13.75</v>
      </c>
      <c r="G153" s="85" t="s">
        <v>98</v>
      </c>
      <c r="H153" s="83" t="s">
        <v>191</v>
      </c>
      <c r="I153" s="85"/>
      <c r="J153" s="87">
        <f>I153*3960</f>
        <v>0</v>
      </c>
      <c r="K153" s="86"/>
      <c r="L153" s="11"/>
    </row>
    <row r="154" spans="2:12" s="9" customFormat="1" ht="13.5" customHeight="1" x14ac:dyDescent="0.2">
      <c r="B154" s="10"/>
      <c r="C154" s="99" t="s">
        <v>192</v>
      </c>
      <c r="D154" s="76" t="s">
        <v>20</v>
      </c>
      <c r="E154" s="104" t="s">
        <v>21</v>
      </c>
      <c r="F154" s="78">
        <v>14.17</v>
      </c>
      <c r="G154" s="79" t="s">
        <v>98</v>
      </c>
      <c r="H154" s="77" t="s">
        <v>189</v>
      </c>
      <c r="I154" s="79"/>
      <c r="J154" s="81">
        <f>I154*2040.48</f>
        <v>0</v>
      </c>
      <c r="K154" s="80"/>
      <c r="L154" s="11"/>
    </row>
    <row r="155" spans="2:12" s="9" customFormat="1" ht="13.5" customHeight="1" x14ac:dyDescent="0.2">
      <c r="B155" s="10"/>
      <c r="C155" s="98" t="s">
        <v>193</v>
      </c>
      <c r="D155" s="70" t="s">
        <v>20</v>
      </c>
      <c r="E155" s="103" t="s">
        <v>21</v>
      </c>
      <c r="F155" s="72">
        <v>14.29</v>
      </c>
      <c r="G155" s="73" t="s">
        <v>98</v>
      </c>
      <c r="H155" s="71" t="s">
        <v>194</v>
      </c>
      <c r="I155" s="73"/>
      <c r="J155" s="75">
        <f>I155*171.48</f>
        <v>0</v>
      </c>
      <c r="K155" s="74"/>
      <c r="L155" s="11"/>
    </row>
    <row r="156" spans="2:12" s="9" customFormat="1" ht="13.5" customHeight="1" x14ac:dyDescent="0.2">
      <c r="B156" s="10"/>
      <c r="C156" s="98" t="s">
        <v>195</v>
      </c>
      <c r="D156" s="70" t="s">
        <v>20</v>
      </c>
      <c r="E156" s="103" t="s">
        <v>158</v>
      </c>
      <c r="F156" s="72">
        <v>14.93</v>
      </c>
      <c r="G156" s="73" t="s">
        <v>98</v>
      </c>
      <c r="H156" s="71" t="s">
        <v>189</v>
      </c>
      <c r="I156" s="73"/>
      <c r="J156" s="75">
        <f>I156*2149.92</f>
        <v>0</v>
      </c>
      <c r="K156" s="74"/>
      <c r="L156" s="11"/>
    </row>
    <row r="157" spans="2:12" s="9" customFormat="1" ht="13.5" customHeight="1" x14ac:dyDescent="0.2">
      <c r="B157" s="10"/>
      <c r="C157" s="100" t="s">
        <v>196</v>
      </c>
      <c r="D157" s="82" t="s">
        <v>20</v>
      </c>
      <c r="E157" s="105" t="s">
        <v>158</v>
      </c>
      <c r="F157" s="84">
        <v>15.27</v>
      </c>
      <c r="G157" s="85" t="s">
        <v>98</v>
      </c>
      <c r="H157" s="83" t="s">
        <v>189</v>
      </c>
      <c r="I157" s="85"/>
      <c r="J157" s="87">
        <f>I157*2198.88</f>
        <v>0</v>
      </c>
      <c r="K157" s="86"/>
      <c r="L157" s="11"/>
    </row>
    <row r="158" spans="2:12" s="9" customFormat="1" ht="13.5" customHeight="1" x14ac:dyDescent="0.2">
      <c r="B158" s="10"/>
      <c r="C158" s="98" t="s">
        <v>197</v>
      </c>
      <c r="D158" s="70" t="s">
        <v>20</v>
      </c>
      <c r="E158" s="103" t="s">
        <v>158</v>
      </c>
      <c r="F158" s="72">
        <v>15.63</v>
      </c>
      <c r="G158" s="73" t="s">
        <v>98</v>
      </c>
      <c r="H158" s="71" t="s">
        <v>189</v>
      </c>
      <c r="I158" s="73"/>
      <c r="J158" s="75">
        <f>I158*2250.72</f>
        <v>0</v>
      </c>
      <c r="K158" s="74"/>
      <c r="L158" s="11"/>
    </row>
    <row r="159" spans="2:12" s="9" customFormat="1" ht="13.5" customHeight="1" x14ac:dyDescent="0.2">
      <c r="B159" s="10"/>
      <c r="C159" s="98" t="s">
        <v>198</v>
      </c>
      <c r="D159" s="70" t="s">
        <v>20</v>
      </c>
      <c r="E159" s="103" t="s">
        <v>25</v>
      </c>
      <c r="F159" s="72">
        <v>15.84</v>
      </c>
      <c r="G159" s="73" t="s">
        <v>98</v>
      </c>
      <c r="H159" s="71" t="s">
        <v>199</v>
      </c>
      <c r="I159" s="73"/>
      <c r="J159" s="75">
        <f>I159*380.16</f>
        <v>0</v>
      </c>
      <c r="K159" s="74"/>
      <c r="L159" s="11"/>
    </row>
    <row r="160" spans="2:12" s="9" customFormat="1" ht="13.5" customHeight="1" x14ac:dyDescent="0.2">
      <c r="B160" s="10"/>
      <c r="C160" s="98" t="s">
        <v>200</v>
      </c>
      <c r="D160" s="70" t="s">
        <v>20</v>
      </c>
      <c r="E160" s="103" t="s">
        <v>21</v>
      </c>
      <c r="F160" s="72">
        <v>16</v>
      </c>
      <c r="G160" s="73" t="s">
        <v>98</v>
      </c>
      <c r="H160" s="71" t="s">
        <v>201</v>
      </c>
      <c r="I160" s="73"/>
      <c r="J160" s="75">
        <f>I160*320</f>
        <v>0</v>
      </c>
      <c r="K160" s="74"/>
      <c r="L160" s="11"/>
    </row>
    <row r="161" spans="2:12" s="9" customFormat="1" ht="13.5" customHeight="1" x14ac:dyDescent="0.2">
      <c r="B161" s="10"/>
      <c r="C161" s="98" t="s">
        <v>202</v>
      </c>
      <c r="D161" s="70" t="s">
        <v>20</v>
      </c>
      <c r="E161" s="103" t="s">
        <v>21</v>
      </c>
      <c r="F161" s="72">
        <v>16.84</v>
      </c>
      <c r="G161" s="73" t="s">
        <v>98</v>
      </c>
      <c r="H161" s="71" t="s">
        <v>189</v>
      </c>
      <c r="I161" s="73"/>
      <c r="J161" s="75">
        <f>I161*2424.96</f>
        <v>0</v>
      </c>
      <c r="K161" s="74"/>
      <c r="L161" s="11"/>
    </row>
    <row r="162" spans="2:12" s="9" customFormat="1" ht="13.5" customHeight="1" x14ac:dyDescent="0.2">
      <c r="B162" s="10"/>
      <c r="C162" s="98" t="s">
        <v>203</v>
      </c>
      <c r="D162" s="70" t="s">
        <v>20</v>
      </c>
      <c r="E162" s="103" t="s">
        <v>164</v>
      </c>
      <c r="F162" s="72">
        <v>18.649999999999999</v>
      </c>
      <c r="G162" s="73" t="s">
        <v>98</v>
      </c>
      <c r="H162" s="71" t="s">
        <v>189</v>
      </c>
      <c r="I162" s="73"/>
      <c r="J162" s="75">
        <f>I162*2685.6</f>
        <v>0</v>
      </c>
      <c r="K162" s="74"/>
      <c r="L162" s="11"/>
    </row>
    <row r="163" spans="2:12" s="9" customFormat="1" ht="13.5" customHeight="1" x14ac:dyDescent="0.2">
      <c r="B163" s="10"/>
      <c r="C163" s="98" t="s">
        <v>204</v>
      </c>
      <c r="D163" s="70" t="s">
        <v>20</v>
      </c>
      <c r="E163" s="103" t="s">
        <v>25</v>
      </c>
      <c r="F163" s="72">
        <v>20.5</v>
      </c>
      <c r="G163" s="73" t="s">
        <v>98</v>
      </c>
      <c r="H163" s="71" t="s">
        <v>201</v>
      </c>
      <c r="I163" s="73"/>
      <c r="J163" s="75">
        <f>I163*410</f>
        <v>0</v>
      </c>
      <c r="K163" s="74"/>
      <c r="L163" s="11"/>
    </row>
    <row r="164" spans="2:12" s="9" customFormat="1" ht="13.5" customHeight="1" x14ac:dyDescent="0.2">
      <c r="B164" s="10"/>
      <c r="C164" s="98" t="s">
        <v>205</v>
      </c>
      <c r="D164" s="70" t="s">
        <v>20</v>
      </c>
      <c r="E164" s="103" t="s">
        <v>109</v>
      </c>
      <c r="F164" s="72">
        <v>25.98</v>
      </c>
      <c r="G164" s="73" t="s">
        <v>98</v>
      </c>
      <c r="H164" s="71" t="s">
        <v>194</v>
      </c>
      <c r="I164" s="73"/>
      <c r="J164" s="75">
        <f>I164*311.76</f>
        <v>0</v>
      </c>
      <c r="K164" s="74"/>
      <c r="L164" s="11"/>
    </row>
    <row r="165" spans="2:12" s="9" customFormat="1" ht="13.5" customHeight="1" x14ac:dyDescent="0.2">
      <c r="B165" s="10"/>
      <c r="C165" s="98" t="s">
        <v>206</v>
      </c>
      <c r="D165" s="70" t="s">
        <v>20</v>
      </c>
      <c r="E165" s="103" t="s">
        <v>164</v>
      </c>
      <c r="F165" s="72">
        <v>27.25</v>
      </c>
      <c r="G165" s="73" t="s">
        <v>98</v>
      </c>
      <c r="H165" s="71" t="s">
        <v>187</v>
      </c>
      <c r="I165" s="73"/>
      <c r="J165" s="75">
        <f>I165*1962</f>
        <v>0</v>
      </c>
      <c r="K165" s="74"/>
      <c r="L165" s="11"/>
    </row>
    <row r="166" spans="2:12" s="9" customFormat="1" ht="13.5" customHeight="1" x14ac:dyDescent="0.2">
      <c r="B166" s="10"/>
      <c r="C166" s="98" t="s">
        <v>207</v>
      </c>
      <c r="D166" s="70" t="s">
        <v>20</v>
      </c>
      <c r="E166" s="103" t="s">
        <v>164</v>
      </c>
      <c r="F166" s="72">
        <v>27.4</v>
      </c>
      <c r="G166" s="73" t="s">
        <v>98</v>
      </c>
      <c r="H166" s="71" t="s">
        <v>208</v>
      </c>
      <c r="I166" s="73"/>
      <c r="J166" s="75">
        <f>I166*2959.2</f>
        <v>0</v>
      </c>
      <c r="K166" s="74"/>
      <c r="L166" s="11"/>
    </row>
    <row r="167" spans="2:12" s="9" customFormat="1" ht="13.5" customHeight="1" x14ac:dyDescent="0.2">
      <c r="B167" s="10"/>
      <c r="C167" s="98" t="s">
        <v>209</v>
      </c>
      <c r="D167" s="70" t="s">
        <v>20</v>
      </c>
      <c r="E167" s="103" t="s">
        <v>21</v>
      </c>
      <c r="F167" s="72">
        <v>35.17</v>
      </c>
      <c r="G167" s="73" t="s">
        <v>98</v>
      </c>
      <c r="H167" s="71" t="s">
        <v>210</v>
      </c>
      <c r="I167" s="73"/>
      <c r="J167" s="75">
        <f>I167*2110.2</f>
        <v>0</v>
      </c>
      <c r="K167" s="74"/>
      <c r="L167" s="11"/>
    </row>
    <row r="168" spans="2:12" s="9" customFormat="1" ht="13.5" customHeight="1" x14ac:dyDescent="0.2">
      <c r="B168" s="10"/>
      <c r="C168" s="98" t="s">
        <v>211</v>
      </c>
      <c r="D168" s="70" t="s">
        <v>20</v>
      </c>
      <c r="E168" s="103" t="s">
        <v>109</v>
      </c>
      <c r="F168" s="72">
        <v>35.9</v>
      </c>
      <c r="G168" s="73" t="s">
        <v>98</v>
      </c>
      <c r="H168" s="71" t="s">
        <v>194</v>
      </c>
      <c r="I168" s="73"/>
      <c r="J168" s="75">
        <f>I168*430.8</f>
        <v>0</v>
      </c>
      <c r="K168" s="74"/>
      <c r="L168" s="11"/>
    </row>
    <row r="169" spans="2:12" s="9" customFormat="1" ht="13.5" customHeight="1" x14ac:dyDescent="0.2">
      <c r="B169" s="10"/>
      <c r="C169" s="99" t="s">
        <v>212</v>
      </c>
      <c r="D169" s="76" t="s">
        <v>20</v>
      </c>
      <c r="E169" s="104" t="s">
        <v>21</v>
      </c>
      <c r="F169" s="78">
        <v>42.92</v>
      </c>
      <c r="G169" s="79" t="s">
        <v>98</v>
      </c>
      <c r="H169" s="77" t="s">
        <v>194</v>
      </c>
      <c r="I169" s="79"/>
      <c r="J169" s="81">
        <f>I169*515.04</f>
        <v>0</v>
      </c>
      <c r="K169" s="80"/>
      <c r="L169" s="11"/>
    </row>
    <row r="170" spans="2:12" s="9" customFormat="1" ht="13.5" customHeight="1" x14ac:dyDescent="0.2">
      <c r="B170" s="10"/>
      <c r="C170" s="98" t="s">
        <v>213</v>
      </c>
      <c r="D170" s="70" t="s">
        <v>20</v>
      </c>
      <c r="E170" s="103" t="s">
        <v>164</v>
      </c>
      <c r="F170" s="72">
        <v>43</v>
      </c>
      <c r="G170" s="73" t="s">
        <v>98</v>
      </c>
      <c r="H170" s="71" t="s">
        <v>214</v>
      </c>
      <c r="I170" s="73"/>
      <c r="J170" s="75">
        <f>I170*258</f>
        <v>0</v>
      </c>
      <c r="K170" s="74"/>
      <c r="L170" s="11"/>
    </row>
    <row r="171" spans="2:12" s="9" customFormat="1" ht="13.5" customHeight="1" x14ac:dyDescent="0.2">
      <c r="B171" s="10"/>
      <c r="C171" s="99" t="s">
        <v>215</v>
      </c>
      <c r="D171" s="76" t="s">
        <v>20</v>
      </c>
      <c r="E171" s="104" t="s">
        <v>164</v>
      </c>
      <c r="F171" s="78">
        <v>47.2</v>
      </c>
      <c r="G171" s="79" t="s">
        <v>98</v>
      </c>
      <c r="H171" s="77" t="s">
        <v>214</v>
      </c>
      <c r="I171" s="79"/>
      <c r="J171" s="81">
        <f>I171*283.2</f>
        <v>0</v>
      </c>
      <c r="K171" s="80"/>
      <c r="L171" s="11"/>
    </row>
    <row r="172" spans="2:12" s="9" customFormat="1" ht="13.5" customHeight="1" x14ac:dyDescent="0.2">
      <c r="B172" s="10"/>
      <c r="C172" s="98" t="s">
        <v>216</v>
      </c>
      <c r="D172" s="70" t="s">
        <v>20</v>
      </c>
      <c r="E172" s="103" t="s">
        <v>217</v>
      </c>
      <c r="F172" s="72">
        <v>173.5</v>
      </c>
      <c r="G172" s="73" t="s">
        <v>98</v>
      </c>
      <c r="H172" s="71" t="s">
        <v>129</v>
      </c>
      <c r="I172" s="73"/>
      <c r="J172" s="75">
        <f>I172*694</f>
        <v>0</v>
      </c>
      <c r="K172" s="74"/>
      <c r="L172" s="11"/>
    </row>
    <row r="173" spans="2:12" s="9" customFormat="1" ht="13.5" customHeight="1" x14ac:dyDescent="0.2">
      <c r="B173" s="10"/>
      <c r="C173" s="98" t="s">
        <v>218</v>
      </c>
      <c r="D173" s="70" t="s">
        <v>20</v>
      </c>
      <c r="E173" s="103" t="s">
        <v>217</v>
      </c>
      <c r="F173" s="72">
        <v>198</v>
      </c>
      <c r="G173" s="73" t="s">
        <v>98</v>
      </c>
      <c r="H173" s="71" t="s">
        <v>129</v>
      </c>
      <c r="I173" s="73"/>
      <c r="J173" s="75">
        <f>I173*792</f>
        <v>0</v>
      </c>
      <c r="K173" s="74"/>
      <c r="L173" s="11"/>
    </row>
    <row r="174" spans="2:12" s="1" customFormat="1" ht="44.1" customHeight="1" x14ac:dyDescent="0.2">
      <c r="B174" s="8"/>
      <c r="C174" s="63" t="s">
        <v>219</v>
      </c>
      <c r="D174" s="62"/>
      <c r="E174" s="63"/>
      <c r="F174" s="108"/>
      <c r="G174" s="108"/>
      <c r="H174" s="63"/>
      <c r="I174" s="63"/>
      <c r="J174" s="63"/>
      <c r="K174" s="63"/>
      <c r="L174" s="8"/>
    </row>
    <row r="175" spans="2:12" s="9" customFormat="1" ht="13.5" customHeight="1" x14ac:dyDescent="0.2">
      <c r="B175" s="10"/>
      <c r="C175" s="98" t="s">
        <v>220</v>
      </c>
      <c r="D175" s="70" t="s">
        <v>20</v>
      </c>
      <c r="E175" s="103" t="s">
        <v>109</v>
      </c>
      <c r="F175" s="72">
        <v>12.6</v>
      </c>
      <c r="G175" s="73" t="s">
        <v>98</v>
      </c>
      <c r="H175" s="71" t="s">
        <v>189</v>
      </c>
      <c r="I175" s="73"/>
      <c r="J175" s="75">
        <f>I175*1814.4</f>
        <v>0</v>
      </c>
      <c r="K175" s="74"/>
      <c r="L175" s="11"/>
    </row>
    <row r="176" spans="2:12" s="9" customFormat="1" ht="13.5" customHeight="1" x14ac:dyDescent="0.2">
      <c r="B176" s="10"/>
      <c r="C176" s="98" t="s">
        <v>221</v>
      </c>
      <c r="D176" s="70" t="s">
        <v>20</v>
      </c>
      <c r="E176" s="103" t="s">
        <v>164</v>
      </c>
      <c r="F176" s="72">
        <v>17.350000000000001</v>
      </c>
      <c r="G176" s="73" t="s">
        <v>98</v>
      </c>
      <c r="H176" s="71" t="s">
        <v>189</v>
      </c>
      <c r="I176" s="73"/>
      <c r="J176" s="75">
        <f>I176*2498.4</f>
        <v>0</v>
      </c>
      <c r="K176" s="74"/>
      <c r="L176" s="11"/>
    </row>
    <row r="177" spans="2:12" s="9" customFormat="1" ht="13.5" customHeight="1" x14ac:dyDescent="0.2">
      <c r="B177" s="10"/>
      <c r="C177" s="98" t="s">
        <v>222</v>
      </c>
      <c r="D177" s="70" t="s">
        <v>20</v>
      </c>
      <c r="E177" s="103" t="s">
        <v>25</v>
      </c>
      <c r="F177" s="72">
        <v>60</v>
      </c>
      <c r="G177" s="73" t="s">
        <v>98</v>
      </c>
      <c r="H177" s="71" t="s">
        <v>194</v>
      </c>
      <c r="I177" s="73"/>
      <c r="J177" s="75">
        <f>I177*720</f>
        <v>0</v>
      </c>
      <c r="K177" s="74"/>
      <c r="L177" s="11"/>
    </row>
    <row r="178" spans="2:12" s="9" customFormat="1" ht="13.5" customHeight="1" x14ac:dyDescent="0.2">
      <c r="B178" s="10"/>
      <c r="C178" s="98" t="s">
        <v>223</v>
      </c>
      <c r="D178" s="70" t="s">
        <v>20</v>
      </c>
      <c r="E178" s="103" t="s">
        <v>109</v>
      </c>
      <c r="F178" s="72">
        <v>65.91</v>
      </c>
      <c r="G178" s="73" t="s">
        <v>98</v>
      </c>
      <c r="H178" s="71" t="s">
        <v>214</v>
      </c>
      <c r="I178" s="73"/>
      <c r="J178" s="75">
        <f>I178*395.46</f>
        <v>0</v>
      </c>
      <c r="K178" s="74"/>
      <c r="L178" s="11"/>
    </row>
    <row r="179" spans="2:12" s="9" customFormat="1" ht="13.5" customHeight="1" x14ac:dyDescent="0.2">
      <c r="B179" s="10"/>
      <c r="C179" s="98" t="s">
        <v>224</v>
      </c>
      <c r="D179" s="70" t="s">
        <v>20</v>
      </c>
      <c r="E179" s="103" t="s">
        <v>21</v>
      </c>
      <c r="F179" s="72">
        <v>72.17</v>
      </c>
      <c r="G179" s="73" t="s">
        <v>98</v>
      </c>
      <c r="H179" s="71" t="s">
        <v>214</v>
      </c>
      <c r="I179" s="73"/>
      <c r="J179" s="75">
        <f>I179*433.02</f>
        <v>0</v>
      </c>
      <c r="K179" s="74"/>
      <c r="L179" s="11"/>
    </row>
    <row r="180" spans="2:12" s="9" customFormat="1" ht="13.5" customHeight="1" x14ac:dyDescent="0.2">
      <c r="B180" s="10"/>
      <c r="C180" s="98" t="s">
        <v>225</v>
      </c>
      <c r="D180" s="70" t="s">
        <v>20</v>
      </c>
      <c r="E180" s="103" t="s">
        <v>25</v>
      </c>
      <c r="F180" s="72">
        <v>73.5</v>
      </c>
      <c r="G180" s="73" t="s">
        <v>98</v>
      </c>
      <c r="H180" s="71" t="s">
        <v>194</v>
      </c>
      <c r="I180" s="73"/>
      <c r="J180" s="75">
        <f>I180*882</f>
        <v>0</v>
      </c>
      <c r="K180" s="74"/>
      <c r="L180" s="11"/>
    </row>
    <row r="181" spans="2:12" s="9" customFormat="1" ht="13.5" customHeight="1" x14ac:dyDescent="0.2">
      <c r="B181" s="10"/>
      <c r="C181" s="98" t="s">
        <v>226</v>
      </c>
      <c r="D181" s="70" t="s">
        <v>20</v>
      </c>
      <c r="E181" s="103" t="s">
        <v>109</v>
      </c>
      <c r="F181" s="72">
        <v>74.510000000000005</v>
      </c>
      <c r="G181" s="73" t="s">
        <v>98</v>
      </c>
      <c r="H181" s="71" t="s">
        <v>214</v>
      </c>
      <c r="I181" s="73"/>
      <c r="J181" s="75">
        <f>I181*447.06</f>
        <v>0</v>
      </c>
      <c r="K181" s="74"/>
      <c r="L181" s="11"/>
    </row>
    <row r="182" spans="2:12" s="9" customFormat="1" ht="13.5" customHeight="1" x14ac:dyDescent="0.2">
      <c r="B182" s="10"/>
      <c r="C182" s="98" t="s">
        <v>227</v>
      </c>
      <c r="D182" s="70" t="s">
        <v>20</v>
      </c>
      <c r="E182" s="103" t="s">
        <v>164</v>
      </c>
      <c r="F182" s="72">
        <v>125</v>
      </c>
      <c r="G182" s="73" t="s">
        <v>98</v>
      </c>
      <c r="H182" s="71" t="s">
        <v>214</v>
      </c>
      <c r="I182" s="73"/>
      <c r="J182" s="75">
        <f>I182*750</f>
        <v>0</v>
      </c>
      <c r="K182" s="74"/>
      <c r="L182" s="11"/>
    </row>
    <row r="183" spans="2:12" s="9" customFormat="1" ht="13.5" customHeight="1" x14ac:dyDescent="0.2">
      <c r="B183" s="10"/>
      <c r="C183" s="98" t="s">
        <v>228</v>
      </c>
      <c r="D183" s="70" t="s">
        <v>20</v>
      </c>
      <c r="E183" s="103" t="s">
        <v>21</v>
      </c>
      <c r="F183" s="72">
        <v>164.34</v>
      </c>
      <c r="G183" s="73" t="s">
        <v>98</v>
      </c>
      <c r="H183" s="71" t="s">
        <v>214</v>
      </c>
      <c r="I183" s="73"/>
      <c r="J183" s="75">
        <f>I183*986.04</f>
        <v>0</v>
      </c>
      <c r="K183" s="74"/>
      <c r="L183" s="11"/>
    </row>
    <row r="184" spans="2:12" s="9" customFormat="1" ht="13.5" customHeight="1" x14ac:dyDescent="0.2">
      <c r="B184" s="10"/>
      <c r="C184" s="98" t="s">
        <v>229</v>
      </c>
      <c r="D184" s="70" t="s">
        <v>20</v>
      </c>
      <c r="E184" s="103" t="s">
        <v>109</v>
      </c>
      <c r="F184" s="72">
        <v>248</v>
      </c>
      <c r="G184" s="73" t="s">
        <v>98</v>
      </c>
      <c r="H184" s="71" t="s">
        <v>129</v>
      </c>
      <c r="I184" s="73"/>
      <c r="J184" s="75">
        <f>I184*992</f>
        <v>0</v>
      </c>
      <c r="K184" s="74"/>
      <c r="L184" s="11"/>
    </row>
    <row r="185" spans="2:12" s="9" customFormat="1" ht="13.5" customHeight="1" x14ac:dyDescent="0.2">
      <c r="B185" s="10"/>
      <c r="C185" s="98" t="s">
        <v>230</v>
      </c>
      <c r="D185" s="70" t="s">
        <v>20</v>
      </c>
      <c r="E185" s="103" t="s">
        <v>21</v>
      </c>
      <c r="F185" s="72">
        <v>250</v>
      </c>
      <c r="G185" s="73" t="s">
        <v>98</v>
      </c>
      <c r="H185" s="71" t="s">
        <v>102</v>
      </c>
      <c r="I185" s="73"/>
      <c r="J185" s="75">
        <f>I185*750</f>
        <v>0</v>
      </c>
      <c r="K185" s="74"/>
      <c r="L185" s="11"/>
    </row>
    <row r="186" spans="2:12" s="9" customFormat="1" ht="13.5" customHeight="1" x14ac:dyDescent="0.2">
      <c r="B186" s="10"/>
      <c r="C186" s="98" t="s">
        <v>231</v>
      </c>
      <c r="D186" s="70" t="s">
        <v>20</v>
      </c>
      <c r="E186" s="103" t="s">
        <v>164</v>
      </c>
      <c r="F186" s="72">
        <v>322</v>
      </c>
      <c r="G186" s="73" t="s">
        <v>98</v>
      </c>
      <c r="H186" s="71" t="s">
        <v>129</v>
      </c>
      <c r="I186" s="73"/>
      <c r="J186" s="75">
        <f>I186*1288</f>
        <v>0</v>
      </c>
      <c r="K186" s="74"/>
      <c r="L186" s="11"/>
    </row>
    <row r="187" spans="2:12" s="9" customFormat="1" ht="13.5" customHeight="1" x14ac:dyDescent="0.2">
      <c r="B187" s="10"/>
      <c r="C187" s="98" t="s">
        <v>232</v>
      </c>
      <c r="D187" s="70" t="s">
        <v>20</v>
      </c>
      <c r="E187" s="103" t="s">
        <v>109</v>
      </c>
      <c r="F187" s="72">
        <v>333</v>
      </c>
      <c r="G187" s="73" t="s">
        <v>98</v>
      </c>
      <c r="H187" s="71" t="s">
        <v>129</v>
      </c>
      <c r="I187" s="73"/>
      <c r="J187" s="75">
        <f>I187*1332</f>
        <v>0</v>
      </c>
      <c r="K187" s="74"/>
      <c r="L187" s="11"/>
    </row>
    <row r="188" spans="2:12" s="9" customFormat="1" ht="13.5" customHeight="1" x14ac:dyDescent="0.2">
      <c r="B188" s="10"/>
      <c r="C188" s="98" t="s">
        <v>233</v>
      </c>
      <c r="D188" s="70" t="s">
        <v>20</v>
      </c>
      <c r="E188" s="103" t="s">
        <v>21</v>
      </c>
      <c r="F188" s="72">
        <v>362.66</v>
      </c>
      <c r="G188" s="73" t="s">
        <v>98</v>
      </c>
      <c r="H188" s="71" t="s">
        <v>102</v>
      </c>
      <c r="I188" s="73"/>
      <c r="J188" s="75">
        <f>I188*1087.98</f>
        <v>0</v>
      </c>
      <c r="K188" s="74"/>
      <c r="L188" s="11"/>
    </row>
    <row r="189" spans="2:12" s="9" customFormat="1" ht="13.5" customHeight="1" x14ac:dyDescent="0.2">
      <c r="B189" s="10"/>
      <c r="C189" s="98" t="s">
        <v>234</v>
      </c>
      <c r="D189" s="70" t="s">
        <v>20</v>
      </c>
      <c r="E189" s="103" t="s">
        <v>164</v>
      </c>
      <c r="F189" s="72">
        <v>364</v>
      </c>
      <c r="G189" s="73" t="s">
        <v>98</v>
      </c>
      <c r="H189" s="71" t="s">
        <v>102</v>
      </c>
      <c r="I189" s="73"/>
      <c r="J189" s="75">
        <f>I189*1092</f>
        <v>0</v>
      </c>
      <c r="K189" s="74"/>
      <c r="L189" s="11"/>
    </row>
    <row r="190" spans="2:12" s="9" customFormat="1" ht="13.5" customHeight="1" x14ac:dyDescent="0.2">
      <c r="B190" s="10"/>
      <c r="C190" s="98" t="s">
        <v>235</v>
      </c>
      <c r="D190" s="70" t="s">
        <v>20</v>
      </c>
      <c r="E190" s="103" t="s">
        <v>21</v>
      </c>
      <c r="F190" s="72">
        <v>401</v>
      </c>
      <c r="G190" s="73" t="s">
        <v>98</v>
      </c>
      <c r="H190" s="71" t="s">
        <v>129</v>
      </c>
      <c r="I190" s="73"/>
      <c r="J190" s="75">
        <f>I190*1604</f>
        <v>0</v>
      </c>
      <c r="K190" s="74"/>
      <c r="L190" s="11"/>
    </row>
    <row r="191" spans="2:12" s="9" customFormat="1" ht="13.5" customHeight="1" x14ac:dyDescent="0.2">
      <c r="B191" s="10"/>
      <c r="C191" s="98" t="s">
        <v>236</v>
      </c>
      <c r="D191" s="70" t="s">
        <v>20</v>
      </c>
      <c r="E191" s="103" t="s">
        <v>158</v>
      </c>
      <c r="F191" s="72">
        <v>450</v>
      </c>
      <c r="G191" s="73" t="s">
        <v>98</v>
      </c>
      <c r="H191" s="71" t="s">
        <v>237</v>
      </c>
      <c r="I191" s="73"/>
      <c r="J191" s="75">
        <f>I191*2250</f>
        <v>0</v>
      </c>
      <c r="K191" s="74"/>
      <c r="L191" s="11"/>
    </row>
    <row r="192" spans="2:12" s="9" customFormat="1" ht="13.5" customHeight="1" x14ac:dyDescent="0.2">
      <c r="B192" s="10"/>
      <c r="C192" s="98" t="s">
        <v>238</v>
      </c>
      <c r="D192" s="70" t="s">
        <v>20</v>
      </c>
      <c r="E192" s="103" t="s">
        <v>21</v>
      </c>
      <c r="F192" s="72">
        <v>593.75</v>
      </c>
      <c r="G192" s="73" t="s">
        <v>98</v>
      </c>
      <c r="H192" s="71" t="s">
        <v>129</v>
      </c>
      <c r="I192" s="73"/>
      <c r="J192" s="75">
        <f>I192*2375</f>
        <v>0</v>
      </c>
      <c r="K192" s="74"/>
      <c r="L192" s="11"/>
    </row>
    <row r="193" spans="2:12" s="9" customFormat="1" ht="13.5" customHeight="1" x14ac:dyDescent="0.2">
      <c r="B193" s="10"/>
      <c r="C193" s="98" t="s">
        <v>239</v>
      </c>
      <c r="D193" s="70" t="s">
        <v>20</v>
      </c>
      <c r="E193" s="103" t="s">
        <v>21</v>
      </c>
      <c r="F193" s="72">
        <v>752.67</v>
      </c>
      <c r="G193" s="73" t="s">
        <v>98</v>
      </c>
      <c r="H193" s="71" t="s">
        <v>102</v>
      </c>
      <c r="I193" s="73"/>
      <c r="J193" s="75">
        <f>I193*2258.01</f>
        <v>0</v>
      </c>
      <c r="K193" s="74"/>
      <c r="L193" s="11"/>
    </row>
    <row r="194" spans="2:12" s="9" customFormat="1" ht="13.5" customHeight="1" x14ac:dyDescent="0.2">
      <c r="B194" s="10"/>
      <c r="C194" s="98" t="s">
        <v>240</v>
      </c>
      <c r="D194" s="70" t="s">
        <v>20</v>
      </c>
      <c r="E194" s="103" t="s">
        <v>25</v>
      </c>
      <c r="F194" s="72">
        <v>900</v>
      </c>
      <c r="G194" s="73" t="s">
        <v>22</v>
      </c>
      <c r="H194" s="71" t="s">
        <v>26</v>
      </c>
      <c r="I194" s="73"/>
      <c r="J194" s="75">
        <f>I194*900</f>
        <v>0</v>
      </c>
      <c r="K194" s="74"/>
      <c r="L194" s="11"/>
    </row>
    <row r="195" spans="2:12" s="9" customFormat="1" ht="13.5" customHeight="1" x14ac:dyDescent="0.2">
      <c r="B195" s="10"/>
      <c r="C195" s="98" t="s">
        <v>241</v>
      </c>
      <c r="D195" s="70" t="s">
        <v>20</v>
      </c>
      <c r="E195" s="103" t="s">
        <v>158</v>
      </c>
      <c r="F195" s="75">
        <v>1050</v>
      </c>
      <c r="G195" s="73" t="s">
        <v>98</v>
      </c>
      <c r="H195" s="71" t="s">
        <v>102</v>
      </c>
      <c r="I195" s="73"/>
      <c r="J195" s="75">
        <f>I195*3150</f>
        <v>0</v>
      </c>
      <c r="K195" s="74"/>
      <c r="L195" s="11"/>
    </row>
    <row r="196" spans="2:12" s="9" customFormat="1" ht="13.5" customHeight="1" x14ac:dyDescent="0.2">
      <c r="B196" s="10"/>
      <c r="C196" s="98" t="s">
        <v>242</v>
      </c>
      <c r="D196" s="70" t="s">
        <v>20</v>
      </c>
      <c r="E196" s="103" t="s">
        <v>158</v>
      </c>
      <c r="F196" s="75">
        <v>1227</v>
      </c>
      <c r="G196" s="73" t="s">
        <v>98</v>
      </c>
      <c r="H196" s="71" t="s">
        <v>102</v>
      </c>
      <c r="I196" s="73"/>
      <c r="J196" s="75">
        <f>I196*3681</f>
        <v>0</v>
      </c>
      <c r="K196" s="74"/>
      <c r="L196" s="11"/>
    </row>
    <row r="197" spans="2:12" s="9" customFormat="1" ht="13.5" customHeight="1" x14ac:dyDescent="0.2">
      <c r="B197" s="10"/>
      <c r="C197" s="98" t="s">
        <v>243</v>
      </c>
      <c r="D197" s="70" t="s">
        <v>20</v>
      </c>
      <c r="E197" s="103" t="s">
        <v>25</v>
      </c>
      <c r="F197" s="75">
        <v>1600</v>
      </c>
      <c r="G197" s="73" t="s">
        <v>22</v>
      </c>
      <c r="H197" s="71" t="s">
        <v>26</v>
      </c>
      <c r="I197" s="73"/>
      <c r="J197" s="75">
        <f>I197*1600</f>
        <v>0</v>
      </c>
      <c r="K197" s="74"/>
      <c r="L197" s="11"/>
    </row>
    <row r="198" spans="2:12" s="9" customFormat="1" ht="13.5" customHeight="1" x14ac:dyDescent="0.2">
      <c r="B198" s="10"/>
      <c r="C198" s="98" t="s">
        <v>244</v>
      </c>
      <c r="D198" s="70" t="s">
        <v>20</v>
      </c>
      <c r="E198" s="103" t="s">
        <v>25</v>
      </c>
      <c r="F198" s="75">
        <v>1700</v>
      </c>
      <c r="G198" s="73" t="s">
        <v>22</v>
      </c>
      <c r="H198" s="71" t="s">
        <v>26</v>
      </c>
      <c r="I198" s="73"/>
      <c r="J198" s="75">
        <f>I198*1700</f>
        <v>0</v>
      </c>
      <c r="K198" s="74"/>
      <c r="L198" s="11"/>
    </row>
    <row r="199" spans="2:12" s="9" customFormat="1" ht="13.5" customHeight="1" x14ac:dyDescent="0.2">
      <c r="B199" s="10"/>
      <c r="C199" s="98" t="s">
        <v>245</v>
      </c>
      <c r="D199" s="70" t="s">
        <v>20</v>
      </c>
      <c r="E199" s="103" t="s">
        <v>25</v>
      </c>
      <c r="F199" s="75">
        <v>1700</v>
      </c>
      <c r="G199" s="73" t="s">
        <v>22</v>
      </c>
      <c r="H199" s="71" t="s">
        <v>26</v>
      </c>
      <c r="I199" s="73"/>
      <c r="J199" s="75">
        <f>I199*1700</f>
        <v>0</v>
      </c>
      <c r="K199" s="74"/>
      <c r="L199" s="11"/>
    </row>
    <row r="200" spans="2:12" s="9" customFormat="1" ht="13.5" customHeight="1" x14ac:dyDescent="0.2">
      <c r="B200" s="10"/>
      <c r="C200" s="98" t="s">
        <v>246</v>
      </c>
      <c r="D200" s="70" t="s">
        <v>20</v>
      </c>
      <c r="E200" s="103" t="s">
        <v>158</v>
      </c>
      <c r="F200" s="75">
        <v>2100</v>
      </c>
      <c r="G200" s="73" t="s">
        <v>98</v>
      </c>
      <c r="H200" s="71" t="s">
        <v>102</v>
      </c>
      <c r="I200" s="73"/>
      <c r="J200" s="75">
        <f>I200*6300</f>
        <v>0</v>
      </c>
      <c r="K200" s="74"/>
      <c r="L200" s="11"/>
    </row>
    <row r="201" spans="2:12" s="9" customFormat="1" ht="13.5" customHeight="1" x14ac:dyDescent="0.2">
      <c r="B201" s="10"/>
      <c r="C201" s="98" t="s">
        <v>247</v>
      </c>
      <c r="D201" s="70" t="s">
        <v>20</v>
      </c>
      <c r="E201" s="103" t="s">
        <v>25</v>
      </c>
      <c r="F201" s="75">
        <v>2750</v>
      </c>
      <c r="G201" s="73" t="s">
        <v>22</v>
      </c>
      <c r="H201" s="71" t="s">
        <v>26</v>
      </c>
      <c r="I201" s="73"/>
      <c r="J201" s="75">
        <f>I201*2750</f>
        <v>0</v>
      </c>
      <c r="K201" s="74"/>
      <c r="L201" s="11"/>
    </row>
    <row r="202" spans="2:12" s="1" customFormat="1" ht="44.1" customHeight="1" x14ac:dyDescent="0.2">
      <c r="B202" s="8"/>
      <c r="C202" s="63" t="s">
        <v>248</v>
      </c>
      <c r="D202" s="62"/>
      <c r="E202" s="63"/>
      <c r="F202" s="108"/>
      <c r="G202" s="108"/>
      <c r="H202" s="63"/>
      <c r="I202" s="63"/>
      <c r="J202" s="63"/>
      <c r="K202" s="63"/>
      <c r="L202" s="8"/>
    </row>
    <row r="203" spans="2:12" s="9" customFormat="1" ht="13.5" customHeight="1" x14ac:dyDescent="0.2">
      <c r="B203" s="10"/>
      <c r="C203" s="98" t="s">
        <v>249</v>
      </c>
      <c r="D203" s="70" t="s">
        <v>20</v>
      </c>
      <c r="E203" s="103" t="s">
        <v>164</v>
      </c>
      <c r="F203" s="72">
        <v>12.6</v>
      </c>
      <c r="G203" s="73" t="s">
        <v>98</v>
      </c>
      <c r="H203" s="71" t="s">
        <v>189</v>
      </c>
      <c r="I203" s="73"/>
      <c r="J203" s="75">
        <f>I203*1814.4</f>
        <v>0</v>
      </c>
      <c r="K203" s="74"/>
      <c r="L203" s="11"/>
    </row>
    <row r="204" spans="2:12" s="9" customFormat="1" ht="13.5" customHeight="1" x14ac:dyDescent="0.2">
      <c r="B204" s="10"/>
      <c r="C204" s="98" t="s">
        <v>250</v>
      </c>
      <c r="D204" s="70" t="s">
        <v>20</v>
      </c>
      <c r="E204" s="103" t="s">
        <v>25</v>
      </c>
      <c r="F204" s="72">
        <v>15</v>
      </c>
      <c r="G204" s="73" t="s">
        <v>98</v>
      </c>
      <c r="H204" s="71" t="s">
        <v>183</v>
      </c>
      <c r="I204" s="73"/>
      <c r="J204" s="75">
        <f>I204*1500</f>
        <v>0</v>
      </c>
      <c r="K204" s="74"/>
      <c r="L204" s="11"/>
    </row>
    <row r="205" spans="2:12" s="9" customFormat="1" ht="13.5" customHeight="1" x14ac:dyDescent="0.2">
      <c r="B205" s="10"/>
      <c r="C205" s="98" t="s">
        <v>251</v>
      </c>
      <c r="D205" s="70" t="s">
        <v>20</v>
      </c>
      <c r="E205" s="103" t="s">
        <v>21</v>
      </c>
      <c r="F205" s="72">
        <v>17.170000000000002</v>
      </c>
      <c r="G205" s="73" t="s">
        <v>98</v>
      </c>
      <c r="H205" s="71" t="s">
        <v>194</v>
      </c>
      <c r="I205" s="73"/>
      <c r="J205" s="75">
        <f>I205*206.04</f>
        <v>0</v>
      </c>
      <c r="K205" s="74"/>
      <c r="L205" s="11"/>
    </row>
    <row r="206" spans="2:12" s="9" customFormat="1" ht="13.5" customHeight="1" x14ac:dyDescent="0.2">
      <c r="B206" s="10"/>
      <c r="C206" s="98" t="s">
        <v>252</v>
      </c>
      <c r="D206" s="70" t="s">
        <v>20</v>
      </c>
      <c r="E206" s="103" t="s">
        <v>158</v>
      </c>
      <c r="F206" s="72">
        <v>23.47</v>
      </c>
      <c r="G206" s="73" t="s">
        <v>98</v>
      </c>
      <c r="H206" s="71" t="s">
        <v>187</v>
      </c>
      <c r="I206" s="73"/>
      <c r="J206" s="75">
        <f>I206*1689.84</f>
        <v>0</v>
      </c>
      <c r="K206" s="74"/>
      <c r="L206" s="11"/>
    </row>
    <row r="207" spans="2:12" s="9" customFormat="1" ht="13.5" customHeight="1" x14ac:dyDescent="0.2">
      <c r="B207" s="10"/>
      <c r="C207" s="98" t="s">
        <v>253</v>
      </c>
      <c r="D207" s="70" t="s">
        <v>20</v>
      </c>
      <c r="E207" s="103" t="s">
        <v>109</v>
      </c>
      <c r="F207" s="72">
        <v>23.65</v>
      </c>
      <c r="G207" s="73" t="s">
        <v>98</v>
      </c>
      <c r="H207" s="71" t="s">
        <v>181</v>
      </c>
      <c r="I207" s="73"/>
      <c r="J207" s="75">
        <f>I207*2838</f>
        <v>0</v>
      </c>
      <c r="K207" s="74"/>
      <c r="L207" s="11"/>
    </row>
    <row r="208" spans="2:12" s="9" customFormat="1" ht="13.5" customHeight="1" x14ac:dyDescent="0.2">
      <c r="B208" s="10"/>
      <c r="C208" s="98" t="s">
        <v>254</v>
      </c>
      <c r="D208" s="70" t="s">
        <v>20</v>
      </c>
      <c r="E208" s="103" t="s">
        <v>158</v>
      </c>
      <c r="F208" s="72">
        <v>24.3</v>
      </c>
      <c r="G208" s="73" t="s">
        <v>98</v>
      </c>
      <c r="H208" s="71" t="s">
        <v>187</v>
      </c>
      <c r="I208" s="73"/>
      <c r="J208" s="75">
        <f>I208*1749.6</f>
        <v>0</v>
      </c>
      <c r="K208" s="74"/>
      <c r="L208" s="11"/>
    </row>
    <row r="209" spans="2:12" s="9" customFormat="1" ht="13.5" customHeight="1" x14ac:dyDescent="0.2">
      <c r="B209" s="10"/>
      <c r="C209" s="98" t="s">
        <v>255</v>
      </c>
      <c r="D209" s="70" t="s">
        <v>20</v>
      </c>
      <c r="E209" s="103" t="s">
        <v>109</v>
      </c>
      <c r="F209" s="72">
        <v>24.5</v>
      </c>
      <c r="G209" s="73" t="s">
        <v>98</v>
      </c>
      <c r="H209" s="71" t="s">
        <v>187</v>
      </c>
      <c r="I209" s="73"/>
      <c r="J209" s="75">
        <f>I209*1764</f>
        <v>0</v>
      </c>
      <c r="K209" s="74"/>
      <c r="L209" s="11"/>
    </row>
    <row r="210" spans="2:12" s="9" customFormat="1" ht="13.5" customHeight="1" x14ac:dyDescent="0.2">
      <c r="B210" s="10"/>
      <c r="C210" s="99" t="s">
        <v>256</v>
      </c>
      <c r="D210" s="76" t="s">
        <v>20</v>
      </c>
      <c r="E210" s="104" t="s">
        <v>21</v>
      </c>
      <c r="F210" s="78">
        <v>25.58</v>
      </c>
      <c r="G210" s="79" t="s">
        <v>98</v>
      </c>
      <c r="H210" s="77" t="s">
        <v>194</v>
      </c>
      <c r="I210" s="79"/>
      <c r="J210" s="81">
        <f>I210*306.96</f>
        <v>0</v>
      </c>
      <c r="K210" s="80"/>
      <c r="L210" s="11"/>
    </row>
    <row r="211" spans="2:12" s="9" customFormat="1" ht="13.5" customHeight="1" x14ac:dyDescent="0.2">
      <c r="B211" s="10"/>
      <c r="C211" s="98" t="s">
        <v>257</v>
      </c>
      <c r="D211" s="70" t="s">
        <v>20</v>
      </c>
      <c r="E211" s="103" t="s">
        <v>109</v>
      </c>
      <c r="F211" s="72">
        <v>28</v>
      </c>
      <c r="G211" s="73" t="s">
        <v>98</v>
      </c>
      <c r="H211" s="71" t="s">
        <v>258</v>
      </c>
      <c r="I211" s="73"/>
      <c r="J211" s="75">
        <f>I211*280</f>
        <v>0</v>
      </c>
      <c r="K211" s="74"/>
      <c r="L211" s="11"/>
    </row>
    <row r="212" spans="2:12" s="9" customFormat="1" ht="13.5" customHeight="1" x14ac:dyDescent="0.2">
      <c r="B212" s="10"/>
      <c r="C212" s="98" t="s">
        <v>259</v>
      </c>
      <c r="D212" s="70" t="s">
        <v>20</v>
      </c>
      <c r="E212" s="103" t="s">
        <v>109</v>
      </c>
      <c r="F212" s="72">
        <v>29.4</v>
      </c>
      <c r="G212" s="73" t="s">
        <v>98</v>
      </c>
      <c r="H212" s="71" t="s">
        <v>187</v>
      </c>
      <c r="I212" s="73"/>
      <c r="J212" s="75">
        <f>I212*2116.8</f>
        <v>0</v>
      </c>
      <c r="K212" s="74"/>
      <c r="L212" s="11"/>
    </row>
    <row r="213" spans="2:12" s="9" customFormat="1" ht="13.5" customHeight="1" x14ac:dyDescent="0.2">
      <c r="B213" s="10"/>
      <c r="C213" s="98" t="s">
        <v>260</v>
      </c>
      <c r="D213" s="70" t="s">
        <v>20</v>
      </c>
      <c r="E213" s="103" t="s">
        <v>21</v>
      </c>
      <c r="F213" s="72">
        <v>29.67</v>
      </c>
      <c r="G213" s="73" t="s">
        <v>98</v>
      </c>
      <c r="H213" s="71" t="s">
        <v>187</v>
      </c>
      <c r="I213" s="73"/>
      <c r="J213" s="75">
        <f>I213*2136.24</f>
        <v>0</v>
      </c>
      <c r="K213" s="74"/>
      <c r="L213" s="11"/>
    </row>
    <row r="214" spans="2:12" s="9" customFormat="1" ht="13.5" customHeight="1" x14ac:dyDescent="0.2">
      <c r="B214" s="10"/>
      <c r="C214" s="99" t="s">
        <v>261</v>
      </c>
      <c r="D214" s="76" t="s">
        <v>20</v>
      </c>
      <c r="E214" s="104" t="s">
        <v>21</v>
      </c>
      <c r="F214" s="78">
        <v>31.84</v>
      </c>
      <c r="G214" s="79" t="s">
        <v>98</v>
      </c>
      <c r="H214" s="77" t="s">
        <v>187</v>
      </c>
      <c r="I214" s="79"/>
      <c r="J214" s="81">
        <f>I214*2292.48</f>
        <v>0</v>
      </c>
      <c r="K214" s="80"/>
      <c r="L214" s="11"/>
    </row>
    <row r="215" spans="2:12" s="9" customFormat="1" ht="13.5" customHeight="1" x14ac:dyDescent="0.2">
      <c r="B215" s="10"/>
      <c r="C215" s="98" t="s">
        <v>262</v>
      </c>
      <c r="D215" s="70" t="s">
        <v>20</v>
      </c>
      <c r="E215" s="103" t="s">
        <v>164</v>
      </c>
      <c r="F215" s="72">
        <v>32.450000000000003</v>
      </c>
      <c r="G215" s="73" t="s">
        <v>98</v>
      </c>
      <c r="H215" s="71" t="s">
        <v>187</v>
      </c>
      <c r="I215" s="73"/>
      <c r="J215" s="75">
        <f>I215*2336.4</f>
        <v>0</v>
      </c>
      <c r="K215" s="74"/>
      <c r="L215" s="11"/>
    </row>
    <row r="216" spans="2:12" s="9" customFormat="1" ht="13.5" customHeight="1" x14ac:dyDescent="0.2">
      <c r="B216" s="10"/>
      <c r="C216" s="98" t="s">
        <v>263</v>
      </c>
      <c r="D216" s="70" t="s">
        <v>20</v>
      </c>
      <c r="E216" s="103" t="s">
        <v>164</v>
      </c>
      <c r="F216" s="72">
        <v>33.25</v>
      </c>
      <c r="G216" s="73" t="s">
        <v>98</v>
      </c>
      <c r="H216" s="71" t="s">
        <v>194</v>
      </c>
      <c r="I216" s="73"/>
      <c r="J216" s="75">
        <f>I216*399</f>
        <v>0</v>
      </c>
      <c r="K216" s="74"/>
      <c r="L216" s="11"/>
    </row>
    <row r="217" spans="2:12" s="9" customFormat="1" ht="13.5" customHeight="1" x14ac:dyDescent="0.2">
      <c r="B217" s="10"/>
      <c r="C217" s="98" t="s">
        <v>264</v>
      </c>
      <c r="D217" s="70" t="s">
        <v>20</v>
      </c>
      <c r="E217" s="103" t="s">
        <v>164</v>
      </c>
      <c r="F217" s="72">
        <v>36.35</v>
      </c>
      <c r="G217" s="73" t="s">
        <v>98</v>
      </c>
      <c r="H217" s="71" t="s">
        <v>187</v>
      </c>
      <c r="I217" s="73"/>
      <c r="J217" s="75">
        <f>I217*2617.2</f>
        <v>0</v>
      </c>
      <c r="K217" s="74"/>
      <c r="L217" s="11"/>
    </row>
    <row r="218" spans="2:12" s="9" customFormat="1" ht="13.5" customHeight="1" x14ac:dyDescent="0.2">
      <c r="B218" s="10"/>
      <c r="C218" s="98" t="s">
        <v>265</v>
      </c>
      <c r="D218" s="70" t="s">
        <v>20</v>
      </c>
      <c r="E218" s="103" t="s">
        <v>109</v>
      </c>
      <c r="F218" s="72">
        <v>44.95</v>
      </c>
      <c r="G218" s="73" t="s">
        <v>98</v>
      </c>
      <c r="H218" s="71" t="s">
        <v>194</v>
      </c>
      <c r="I218" s="73"/>
      <c r="J218" s="75">
        <f>I218*539.4</f>
        <v>0</v>
      </c>
      <c r="K218" s="74"/>
      <c r="L218" s="11"/>
    </row>
    <row r="219" spans="2:12" s="9" customFormat="1" ht="13.5" customHeight="1" x14ac:dyDescent="0.2">
      <c r="B219" s="10"/>
      <c r="C219" s="98" t="s">
        <v>266</v>
      </c>
      <c r="D219" s="70" t="s">
        <v>20</v>
      </c>
      <c r="E219" s="103" t="s">
        <v>158</v>
      </c>
      <c r="F219" s="72">
        <v>52.5</v>
      </c>
      <c r="G219" s="73" t="s">
        <v>98</v>
      </c>
      <c r="H219" s="71" t="s">
        <v>194</v>
      </c>
      <c r="I219" s="73"/>
      <c r="J219" s="75">
        <f>I219*630</f>
        <v>0</v>
      </c>
      <c r="K219" s="74"/>
      <c r="L219" s="11"/>
    </row>
    <row r="220" spans="2:12" s="9" customFormat="1" ht="13.5" customHeight="1" x14ac:dyDescent="0.2">
      <c r="B220" s="10"/>
      <c r="C220" s="98" t="s">
        <v>267</v>
      </c>
      <c r="D220" s="70" t="s">
        <v>20</v>
      </c>
      <c r="E220" s="103" t="s">
        <v>158</v>
      </c>
      <c r="F220" s="72">
        <v>54.16</v>
      </c>
      <c r="G220" s="73" t="s">
        <v>98</v>
      </c>
      <c r="H220" s="71" t="s">
        <v>194</v>
      </c>
      <c r="I220" s="73"/>
      <c r="J220" s="75">
        <f>I220*649.92</f>
        <v>0</v>
      </c>
      <c r="K220" s="74"/>
      <c r="L220" s="11"/>
    </row>
    <row r="221" spans="2:12" s="9" customFormat="1" ht="13.5" customHeight="1" x14ac:dyDescent="0.2">
      <c r="B221" s="10"/>
      <c r="C221" s="98" t="s">
        <v>268</v>
      </c>
      <c r="D221" s="70" t="s">
        <v>20</v>
      </c>
      <c r="E221" s="103" t="s">
        <v>21</v>
      </c>
      <c r="F221" s="72">
        <v>56.67</v>
      </c>
      <c r="G221" s="73" t="s">
        <v>98</v>
      </c>
      <c r="H221" s="71" t="s">
        <v>214</v>
      </c>
      <c r="I221" s="73"/>
      <c r="J221" s="75">
        <f>I221*340.02</f>
        <v>0</v>
      </c>
      <c r="K221" s="74"/>
      <c r="L221" s="11"/>
    </row>
    <row r="222" spans="2:12" s="9" customFormat="1" ht="13.5" customHeight="1" x14ac:dyDescent="0.2">
      <c r="B222" s="10"/>
      <c r="C222" s="98" t="s">
        <v>269</v>
      </c>
      <c r="D222" s="70" t="s">
        <v>20</v>
      </c>
      <c r="E222" s="103" t="s">
        <v>158</v>
      </c>
      <c r="F222" s="72">
        <v>57.93</v>
      </c>
      <c r="G222" s="73" t="s">
        <v>98</v>
      </c>
      <c r="H222" s="71" t="s">
        <v>194</v>
      </c>
      <c r="I222" s="73"/>
      <c r="J222" s="75">
        <f>I222*695.16</f>
        <v>0</v>
      </c>
      <c r="K222" s="74"/>
      <c r="L222" s="11"/>
    </row>
    <row r="223" spans="2:12" s="9" customFormat="1" ht="13.5" customHeight="1" x14ac:dyDescent="0.2">
      <c r="B223" s="10"/>
      <c r="C223" s="98" t="s">
        <v>270</v>
      </c>
      <c r="D223" s="70" t="s">
        <v>20</v>
      </c>
      <c r="E223" s="103" t="s">
        <v>164</v>
      </c>
      <c r="F223" s="72">
        <v>68.349999999999994</v>
      </c>
      <c r="G223" s="73" t="s">
        <v>98</v>
      </c>
      <c r="H223" s="71" t="s">
        <v>214</v>
      </c>
      <c r="I223" s="73"/>
      <c r="J223" s="75">
        <f>I223*410.1</f>
        <v>0</v>
      </c>
      <c r="K223" s="74"/>
      <c r="L223" s="11"/>
    </row>
    <row r="224" spans="2:12" s="9" customFormat="1" ht="13.5" customHeight="1" x14ac:dyDescent="0.2">
      <c r="B224" s="10"/>
      <c r="C224" s="98" t="s">
        <v>271</v>
      </c>
      <c r="D224" s="70" t="s">
        <v>20</v>
      </c>
      <c r="E224" s="103" t="s">
        <v>164</v>
      </c>
      <c r="F224" s="72">
        <v>105</v>
      </c>
      <c r="G224" s="73" t="s">
        <v>98</v>
      </c>
      <c r="H224" s="71" t="s">
        <v>129</v>
      </c>
      <c r="I224" s="73"/>
      <c r="J224" s="75">
        <f>I224*420</f>
        <v>0</v>
      </c>
      <c r="K224" s="74"/>
      <c r="L224" s="11"/>
    </row>
    <row r="225" spans="2:12" s="9" customFormat="1" ht="13.5" customHeight="1" x14ac:dyDescent="0.2">
      <c r="B225" s="10"/>
      <c r="C225" s="98" t="s">
        <v>272</v>
      </c>
      <c r="D225" s="70" t="s">
        <v>20</v>
      </c>
      <c r="E225" s="103" t="s">
        <v>25</v>
      </c>
      <c r="F225" s="72">
        <v>106.66</v>
      </c>
      <c r="G225" s="73" t="s">
        <v>98</v>
      </c>
      <c r="H225" s="71" t="s">
        <v>102</v>
      </c>
      <c r="I225" s="73"/>
      <c r="J225" s="75">
        <f>I225*319.98</f>
        <v>0</v>
      </c>
      <c r="K225" s="74"/>
      <c r="L225" s="11"/>
    </row>
    <row r="226" spans="2:12" s="9" customFormat="1" ht="13.5" customHeight="1" x14ac:dyDescent="0.2">
      <c r="B226" s="10"/>
      <c r="C226" s="98" t="s">
        <v>273</v>
      </c>
      <c r="D226" s="70" t="s">
        <v>20</v>
      </c>
      <c r="E226" s="103" t="s">
        <v>25</v>
      </c>
      <c r="F226" s="72">
        <v>120.83</v>
      </c>
      <c r="G226" s="73" t="s">
        <v>98</v>
      </c>
      <c r="H226" s="71" t="s">
        <v>214</v>
      </c>
      <c r="I226" s="73"/>
      <c r="J226" s="75">
        <f>I226*724.98</f>
        <v>0</v>
      </c>
      <c r="K226" s="74"/>
      <c r="L226" s="11"/>
    </row>
    <row r="227" spans="2:12" s="9" customFormat="1" ht="13.5" customHeight="1" x14ac:dyDescent="0.2">
      <c r="B227" s="10"/>
      <c r="C227" s="98" t="s">
        <v>274</v>
      </c>
      <c r="D227" s="70" t="s">
        <v>20</v>
      </c>
      <c r="E227" s="103" t="s">
        <v>158</v>
      </c>
      <c r="F227" s="72">
        <v>126.67</v>
      </c>
      <c r="G227" s="73" t="s">
        <v>98</v>
      </c>
      <c r="H227" s="71" t="s">
        <v>214</v>
      </c>
      <c r="I227" s="73"/>
      <c r="J227" s="75">
        <f>I227*760.02</f>
        <v>0</v>
      </c>
      <c r="K227" s="74"/>
      <c r="L227" s="11"/>
    </row>
    <row r="228" spans="2:12" s="9" customFormat="1" ht="13.5" customHeight="1" x14ac:dyDescent="0.2">
      <c r="B228" s="10"/>
      <c r="C228" s="98" t="s">
        <v>275</v>
      </c>
      <c r="D228" s="70" t="s">
        <v>20</v>
      </c>
      <c r="E228" s="103" t="s">
        <v>25</v>
      </c>
      <c r="F228" s="72">
        <v>129.5</v>
      </c>
      <c r="G228" s="73" t="s">
        <v>98</v>
      </c>
      <c r="H228" s="71" t="s">
        <v>276</v>
      </c>
      <c r="I228" s="73"/>
      <c r="J228" s="75">
        <f>I228*259</f>
        <v>0</v>
      </c>
      <c r="K228" s="74"/>
      <c r="L228" s="11"/>
    </row>
    <row r="229" spans="2:12" s="9" customFormat="1" ht="13.5" customHeight="1" x14ac:dyDescent="0.2">
      <c r="B229" s="10"/>
      <c r="C229" s="98" t="s">
        <v>277</v>
      </c>
      <c r="D229" s="70" t="s">
        <v>20</v>
      </c>
      <c r="E229" s="103" t="s">
        <v>158</v>
      </c>
      <c r="F229" s="72">
        <v>131.66999999999999</v>
      </c>
      <c r="G229" s="73" t="s">
        <v>98</v>
      </c>
      <c r="H229" s="71" t="s">
        <v>214</v>
      </c>
      <c r="I229" s="73"/>
      <c r="J229" s="75">
        <f>I229*790.02</f>
        <v>0</v>
      </c>
      <c r="K229" s="74"/>
      <c r="L229" s="11"/>
    </row>
    <row r="230" spans="2:12" s="9" customFormat="1" ht="13.5" customHeight="1" x14ac:dyDescent="0.2">
      <c r="B230" s="10"/>
      <c r="C230" s="98" t="s">
        <v>278</v>
      </c>
      <c r="D230" s="70" t="s">
        <v>20</v>
      </c>
      <c r="E230" s="103" t="s">
        <v>158</v>
      </c>
      <c r="F230" s="72">
        <v>135</v>
      </c>
      <c r="G230" s="73" t="s">
        <v>98</v>
      </c>
      <c r="H230" s="71" t="s">
        <v>129</v>
      </c>
      <c r="I230" s="73"/>
      <c r="J230" s="75">
        <f>I230*540</f>
        <v>0</v>
      </c>
      <c r="K230" s="74"/>
      <c r="L230" s="11"/>
    </row>
    <row r="231" spans="2:12" s="9" customFormat="1" ht="13.5" customHeight="1" x14ac:dyDescent="0.2">
      <c r="B231" s="10"/>
      <c r="C231" s="98" t="s">
        <v>279</v>
      </c>
      <c r="D231" s="70" t="s">
        <v>20</v>
      </c>
      <c r="E231" s="103" t="s">
        <v>158</v>
      </c>
      <c r="F231" s="72">
        <v>140</v>
      </c>
      <c r="G231" s="73" t="s">
        <v>98</v>
      </c>
      <c r="H231" s="71" t="s">
        <v>214</v>
      </c>
      <c r="I231" s="73"/>
      <c r="J231" s="75">
        <f>I231*840</f>
        <v>0</v>
      </c>
      <c r="K231" s="74"/>
      <c r="L231" s="11"/>
    </row>
    <row r="232" spans="2:12" s="9" customFormat="1" ht="13.5" customHeight="1" x14ac:dyDescent="0.2">
      <c r="B232" s="10"/>
      <c r="C232" s="98" t="s">
        <v>280</v>
      </c>
      <c r="D232" s="70" t="s">
        <v>20</v>
      </c>
      <c r="E232" s="103" t="s">
        <v>109</v>
      </c>
      <c r="F232" s="72">
        <v>140</v>
      </c>
      <c r="G232" s="73" t="s">
        <v>98</v>
      </c>
      <c r="H232" s="71" t="s">
        <v>214</v>
      </c>
      <c r="I232" s="73"/>
      <c r="J232" s="75">
        <f>I232*840</f>
        <v>0</v>
      </c>
      <c r="K232" s="74"/>
      <c r="L232" s="11"/>
    </row>
    <row r="233" spans="2:12" s="9" customFormat="1" ht="13.5" customHeight="1" x14ac:dyDescent="0.2">
      <c r="B233" s="10"/>
      <c r="C233" s="98" t="s">
        <v>281</v>
      </c>
      <c r="D233" s="70" t="s">
        <v>20</v>
      </c>
      <c r="E233" s="103" t="s">
        <v>109</v>
      </c>
      <c r="F233" s="72">
        <v>142</v>
      </c>
      <c r="G233" s="73" t="s">
        <v>98</v>
      </c>
      <c r="H233" s="71" t="s">
        <v>214</v>
      </c>
      <c r="I233" s="73"/>
      <c r="J233" s="75">
        <f>I233*852</f>
        <v>0</v>
      </c>
      <c r="K233" s="74"/>
      <c r="L233" s="11"/>
    </row>
    <row r="234" spans="2:12" s="9" customFormat="1" ht="13.5" customHeight="1" x14ac:dyDescent="0.2">
      <c r="B234" s="10"/>
      <c r="C234" s="98" t="s">
        <v>282</v>
      </c>
      <c r="D234" s="70" t="s">
        <v>20</v>
      </c>
      <c r="E234" s="103" t="s">
        <v>158</v>
      </c>
      <c r="F234" s="72">
        <v>144.18</v>
      </c>
      <c r="G234" s="73" t="s">
        <v>98</v>
      </c>
      <c r="H234" s="71" t="s">
        <v>214</v>
      </c>
      <c r="I234" s="73"/>
      <c r="J234" s="75">
        <f>I234*865.08</f>
        <v>0</v>
      </c>
      <c r="K234" s="74"/>
      <c r="L234" s="11"/>
    </row>
    <row r="235" spans="2:12" s="9" customFormat="1" ht="13.5" customHeight="1" x14ac:dyDescent="0.2">
      <c r="B235" s="10"/>
      <c r="C235" s="98" t="s">
        <v>283</v>
      </c>
      <c r="D235" s="70" t="s">
        <v>20</v>
      </c>
      <c r="E235" s="103" t="s">
        <v>164</v>
      </c>
      <c r="F235" s="72">
        <v>183</v>
      </c>
      <c r="G235" s="73" t="s">
        <v>98</v>
      </c>
      <c r="H235" s="71" t="s">
        <v>214</v>
      </c>
      <c r="I235" s="73"/>
      <c r="J235" s="75">
        <f>I235*1098</f>
        <v>0</v>
      </c>
      <c r="K235" s="74"/>
      <c r="L235" s="11"/>
    </row>
    <row r="236" spans="2:12" s="9" customFormat="1" ht="13.5" customHeight="1" x14ac:dyDescent="0.2">
      <c r="B236" s="10"/>
      <c r="C236" s="98" t="s">
        <v>284</v>
      </c>
      <c r="D236" s="70" t="s">
        <v>20</v>
      </c>
      <c r="E236" s="103" t="s">
        <v>109</v>
      </c>
      <c r="F236" s="72">
        <v>198.5</v>
      </c>
      <c r="G236" s="73" t="s">
        <v>98</v>
      </c>
      <c r="H236" s="71" t="s">
        <v>129</v>
      </c>
      <c r="I236" s="73"/>
      <c r="J236" s="75">
        <f>I236*794</f>
        <v>0</v>
      </c>
      <c r="K236" s="74"/>
      <c r="L236" s="11"/>
    </row>
    <row r="237" spans="2:12" s="9" customFormat="1" ht="13.5" customHeight="1" x14ac:dyDescent="0.2">
      <c r="B237" s="10"/>
      <c r="C237" s="99" t="s">
        <v>285</v>
      </c>
      <c r="D237" s="76" t="s">
        <v>20</v>
      </c>
      <c r="E237" s="104" t="s">
        <v>21</v>
      </c>
      <c r="F237" s="78">
        <v>215.75</v>
      </c>
      <c r="G237" s="79" t="s">
        <v>98</v>
      </c>
      <c r="H237" s="77" t="s">
        <v>129</v>
      </c>
      <c r="I237" s="79"/>
      <c r="J237" s="81">
        <f>I237*863</f>
        <v>0</v>
      </c>
      <c r="K237" s="80"/>
      <c r="L237" s="11"/>
    </row>
    <row r="238" spans="2:12" s="9" customFormat="1" ht="13.5" customHeight="1" x14ac:dyDescent="0.2">
      <c r="B238" s="10"/>
      <c r="C238" s="99" t="s">
        <v>286</v>
      </c>
      <c r="D238" s="76" t="s">
        <v>20</v>
      </c>
      <c r="E238" s="104" t="s">
        <v>21</v>
      </c>
      <c r="F238" s="78">
        <v>232.67</v>
      </c>
      <c r="G238" s="79" t="s">
        <v>98</v>
      </c>
      <c r="H238" s="77" t="s">
        <v>102</v>
      </c>
      <c r="I238" s="79"/>
      <c r="J238" s="81">
        <f>I238*698.01</f>
        <v>0</v>
      </c>
      <c r="K238" s="80"/>
      <c r="L238" s="11"/>
    </row>
    <row r="239" spans="2:12" s="9" customFormat="1" ht="13.5" customHeight="1" x14ac:dyDescent="0.2">
      <c r="B239" s="10"/>
      <c r="C239" s="98" t="s">
        <v>287</v>
      </c>
      <c r="D239" s="70" t="s">
        <v>20</v>
      </c>
      <c r="E239" s="103" t="s">
        <v>109</v>
      </c>
      <c r="F239" s="72">
        <v>299</v>
      </c>
      <c r="G239" s="73" t="s">
        <v>98</v>
      </c>
      <c r="H239" s="71" t="s">
        <v>276</v>
      </c>
      <c r="I239" s="73"/>
      <c r="J239" s="75">
        <f>I239*598</f>
        <v>0</v>
      </c>
      <c r="K239" s="74"/>
      <c r="L239" s="11"/>
    </row>
    <row r="240" spans="2:12" s="9" customFormat="1" ht="13.5" customHeight="1" x14ac:dyDescent="0.2">
      <c r="B240" s="10"/>
      <c r="C240" s="98" t="s">
        <v>288</v>
      </c>
      <c r="D240" s="70" t="s">
        <v>20</v>
      </c>
      <c r="E240" s="103" t="s">
        <v>109</v>
      </c>
      <c r="F240" s="72">
        <v>510</v>
      </c>
      <c r="G240" s="73" t="s">
        <v>98</v>
      </c>
      <c r="H240" s="71" t="s">
        <v>118</v>
      </c>
      <c r="I240" s="73"/>
      <c r="J240" s="75">
        <f>I240*510</f>
        <v>0</v>
      </c>
      <c r="K240" s="74"/>
      <c r="L240" s="11"/>
    </row>
    <row r="241" spans="2:12" s="9" customFormat="1" ht="13.5" customHeight="1" x14ac:dyDescent="0.2">
      <c r="B241" s="10"/>
      <c r="C241" s="98" t="s">
        <v>289</v>
      </c>
      <c r="D241" s="70" t="s">
        <v>20</v>
      </c>
      <c r="E241" s="103" t="s">
        <v>21</v>
      </c>
      <c r="F241" s="72">
        <v>515</v>
      </c>
      <c r="G241" s="73" t="s">
        <v>98</v>
      </c>
      <c r="H241" s="71" t="s">
        <v>118</v>
      </c>
      <c r="I241" s="73"/>
      <c r="J241" s="75">
        <f>I241*515</f>
        <v>0</v>
      </c>
      <c r="K241" s="74"/>
      <c r="L241" s="11"/>
    </row>
    <row r="242" spans="2:12" s="1" customFormat="1" ht="44.1" customHeight="1" x14ac:dyDescent="0.2">
      <c r="B242" s="8"/>
      <c r="C242" s="63" t="s">
        <v>290</v>
      </c>
      <c r="D242" s="62"/>
      <c r="E242" s="63"/>
      <c r="F242" s="108"/>
      <c r="G242" s="108"/>
      <c r="H242" s="63"/>
      <c r="I242" s="63"/>
      <c r="J242" s="63"/>
      <c r="K242" s="63"/>
      <c r="L242" s="8"/>
    </row>
    <row r="243" spans="2:12" s="9" customFormat="1" ht="13.5" customHeight="1" x14ac:dyDescent="0.2">
      <c r="B243" s="10"/>
      <c r="C243" s="98" t="s">
        <v>291</v>
      </c>
      <c r="D243" s="70" t="s">
        <v>20</v>
      </c>
      <c r="E243" s="103" t="s">
        <v>25</v>
      </c>
      <c r="F243" s="72">
        <v>35.26</v>
      </c>
      <c r="G243" s="73" t="s">
        <v>98</v>
      </c>
      <c r="H243" s="71" t="s">
        <v>129</v>
      </c>
      <c r="I243" s="73"/>
      <c r="J243" s="75">
        <f>I243*141.04</f>
        <v>0</v>
      </c>
      <c r="K243" s="74"/>
      <c r="L243" s="11"/>
    </row>
    <row r="244" spans="2:12" s="9" customFormat="1" ht="13.5" customHeight="1" x14ac:dyDescent="0.2">
      <c r="B244" s="10"/>
      <c r="C244" s="98" t="s">
        <v>292</v>
      </c>
      <c r="D244" s="70" t="s">
        <v>20</v>
      </c>
      <c r="E244" s="103" t="s">
        <v>25</v>
      </c>
      <c r="F244" s="72">
        <v>39.25</v>
      </c>
      <c r="G244" s="73" t="s">
        <v>98</v>
      </c>
      <c r="H244" s="71" t="s">
        <v>129</v>
      </c>
      <c r="I244" s="73"/>
      <c r="J244" s="75">
        <f>I244*157</f>
        <v>0</v>
      </c>
      <c r="K244" s="74"/>
      <c r="L244" s="11"/>
    </row>
    <row r="245" spans="2:12" s="9" customFormat="1" ht="13.5" customHeight="1" x14ac:dyDescent="0.2">
      <c r="B245" s="10"/>
      <c r="C245" s="98" t="s">
        <v>293</v>
      </c>
      <c r="D245" s="70" t="s">
        <v>20</v>
      </c>
      <c r="E245" s="103" t="s">
        <v>25</v>
      </c>
      <c r="F245" s="72">
        <v>46.11</v>
      </c>
      <c r="G245" s="73" t="s">
        <v>98</v>
      </c>
      <c r="H245" s="71" t="s">
        <v>129</v>
      </c>
      <c r="I245" s="73"/>
      <c r="J245" s="75">
        <f>I245*184.44</f>
        <v>0</v>
      </c>
      <c r="K245" s="74"/>
      <c r="L245" s="11"/>
    </row>
    <row r="246" spans="2:12" s="9" customFormat="1" ht="13.5" customHeight="1" x14ac:dyDescent="0.2">
      <c r="B246" s="10"/>
      <c r="C246" s="98" t="s">
        <v>294</v>
      </c>
      <c r="D246" s="70" t="s">
        <v>20</v>
      </c>
      <c r="E246" s="103" t="s">
        <v>25</v>
      </c>
      <c r="F246" s="72">
        <v>47</v>
      </c>
      <c r="G246" s="73" t="s">
        <v>98</v>
      </c>
      <c r="H246" s="71" t="s">
        <v>129</v>
      </c>
      <c r="I246" s="73"/>
      <c r="J246" s="75">
        <f>I246*188</f>
        <v>0</v>
      </c>
      <c r="K246" s="74"/>
      <c r="L246" s="11"/>
    </row>
    <row r="247" spans="2:12" s="9" customFormat="1" ht="13.5" customHeight="1" x14ac:dyDescent="0.2">
      <c r="B247" s="10"/>
      <c r="C247" s="98" t="s">
        <v>295</v>
      </c>
      <c r="D247" s="70" t="s">
        <v>20</v>
      </c>
      <c r="E247" s="103" t="s">
        <v>25</v>
      </c>
      <c r="F247" s="72">
        <v>51.5</v>
      </c>
      <c r="G247" s="73" t="s">
        <v>98</v>
      </c>
      <c r="H247" s="71" t="s">
        <v>276</v>
      </c>
      <c r="I247" s="73"/>
      <c r="J247" s="75">
        <f>I247*103</f>
        <v>0</v>
      </c>
      <c r="K247" s="74"/>
      <c r="L247" s="11"/>
    </row>
    <row r="248" spans="2:12" s="9" customFormat="1" ht="13.5" customHeight="1" x14ac:dyDescent="0.2">
      <c r="B248" s="10"/>
      <c r="C248" s="98" t="s">
        <v>296</v>
      </c>
      <c r="D248" s="70" t="s">
        <v>20</v>
      </c>
      <c r="E248" s="103" t="s">
        <v>25</v>
      </c>
      <c r="F248" s="72">
        <v>52.5</v>
      </c>
      <c r="G248" s="73" t="s">
        <v>98</v>
      </c>
      <c r="H248" s="71" t="s">
        <v>129</v>
      </c>
      <c r="I248" s="73"/>
      <c r="J248" s="75">
        <f>I248*210</f>
        <v>0</v>
      </c>
      <c r="K248" s="74"/>
      <c r="L248" s="11"/>
    </row>
    <row r="249" spans="2:12" s="9" customFormat="1" ht="13.5" customHeight="1" x14ac:dyDescent="0.2">
      <c r="B249" s="10"/>
      <c r="C249" s="98" t="s">
        <v>297</v>
      </c>
      <c r="D249" s="70" t="s">
        <v>20</v>
      </c>
      <c r="E249" s="103" t="s">
        <v>25</v>
      </c>
      <c r="F249" s="72">
        <v>73.709999999999994</v>
      </c>
      <c r="G249" s="73" t="s">
        <v>98</v>
      </c>
      <c r="H249" s="71" t="s">
        <v>102</v>
      </c>
      <c r="I249" s="73"/>
      <c r="J249" s="75">
        <f>I249*221.13</f>
        <v>0</v>
      </c>
      <c r="K249" s="74"/>
      <c r="L249" s="11"/>
    </row>
    <row r="250" spans="2:12" s="9" customFormat="1" ht="13.5" customHeight="1" x14ac:dyDescent="0.2">
      <c r="B250" s="10"/>
      <c r="C250" s="98" t="s">
        <v>298</v>
      </c>
      <c r="D250" s="70" t="s">
        <v>20</v>
      </c>
      <c r="E250" s="103" t="s">
        <v>299</v>
      </c>
      <c r="F250" s="72">
        <v>115.5</v>
      </c>
      <c r="G250" s="73" t="s">
        <v>98</v>
      </c>
      <c r="H250" s="71" t="s">
        <v>129</v>
      </c>
      <c r="I250" s="73"/>
      <c r="J250" s="75">
        <f>I250*462</f>
        <v>0</v>
      </c>
      <c r="K250" s="74"/>
      <c r="L250" s="11"/>
    </row>
    <row r="251" spans="2:12" s="9" customFormat="1" ht="13.5" customHeight="1" x14ac:dyDescent="0.2">
      <c r="B251" s="10"/>
      <c r="C251" s="98" t="s">
        <v>300</v>
      </c>
      <c r="D251" s="70" t="s">
        <v>20</v>
      </c>
      <c r="E251" s="103" t="s">
        <v>299</v>
      </c>
      <c r="F251" s="72">
        <v>123</v>
      </c>
      <c r="G251" s="73" t="s">
        <v>98</v>
      </c>
      <c r="H251" s="71" t="s">
        <v>129</v>
      </c>
      <c r="I251" s="73"/>
      <c r="J251" s="75">
        <f>I251*492</f>
        <v>0</v>
      </c>
      <c r="K251" s="74"/>
      <c r="L251" s="11"/>
    </row>
    <row r="252" spans="2:12" s="9" customFormat="1" ht="13.5" customHeight="1" x14ac:dyDescent="0.2">
      <c r="B252" s="10"/>
      <c r="C252" s="99" t="s">
        <v>301</v>
      </c>
      <c r="D252" s="76" t="s">
        <v>20</v>
      </c>
      <c r="E252" s="104" t="s">
        <v>164</v>
      </c>
      <c r="F252" s="78">
        <v>139</v>
      </c>
      <c r="G252" s="79" t="s">
        <v>98</v>
      </c>
      <c r="H252" s="77" t="s">
        <v>214</v>
      </c>
      <c r="I252" s="79"/>
      <c r="J252" s="81">
        <f>I252*834</f>
        <v>0</v>
      </c>
      <c r="K252" s="80"/>
      <c r="L252" s="11"/>
    </row>
    <row r="253" spans="2:12" s="9" customFormat="1" ht="13.5" customHeight="1" x14ac:dyDescent="0.2">
      <c r="B253" s="10"/>
      <c r="C253" s="98" t="s">
        <v>302</v>
      </c>
      <c r="D253" s="70" t="s">
        <v>20</v>
      </c>
      <c r="E253" s="103" t="s">
        <v>21</v>
      </c>
      <c r="F253" s="72">
        <v>159</v>
      </c>
      <c r="G253" s="73" t="s">
        <v>98</v>
      </c>
      <c r="H253" s="71" t="s">
        <v>129</v>
      </c>
      <c r="I253" s="73"/>
      <c r="J253" s="75">
        <f>I253*636</f>
        <v>0</v>
      </c>
      <c r="K253" s="74"/>
      <c r="L253" s="11"/>
    </row>
    <row r="254" spans="2:12" s="9" customFormat="1" ht="13.5" customHeight="1" x14ac:dyDescent="0.2">
      <c r="B254" s="10"/>
      <c r="C254" s="98" t="s">
        <v>303</v>
      </c>
      <c r="D254" s="70" t="s">
        <v>20</v>
      </c>
      <c r="E254" s="103" t="s">
        <v>164</v>
      </c>
      <c r="F254" s="72">
        <v>162</v>
      </c>
      <c r="G254" s="73" t="s">
        <v>98</v>
      </c>
      <c r="H254" s="71" t="s">
        <v>118</v>
      </c>
      <c r="I254" s="73"/>
      <c r="J254" s="75">
        <f>I254*162</f>
        <v>0</v>
      </c>
      <c r="K254" s="74"/>
      <c r="L254" s="11"/>
    </row>
    <row r="255" spans="2:12" s="9" customFormat="1" ht="13.5" customHeight="1" x14ac:dyDescent="0.2">
      <c r="B255" s="10"/>
      <c r="C255" s="98" t="s">
        <v>304</v>
      </c>
      <c r="D255" s="70" t="s">
        <v>20</v>
      </c>
      <c r="E255" s="103" t="s">
        <v>21</v>
      </c>
      <c r="F255" s="72">
        <v>233</v>
      </c>
      <c r="G255" s="73" t="s">
        <v>98</v>
      </c>
      <c r="H255" s="71" t="s">
        <v>129</v>
      </c>
      <c r="I255" s="73"/>
      <c r="J255" s="75">
        <f>I255*932</f>
        <v>0</v>
      </c>
      <c r="K255" s="74"/>
      <c r="L255" s="11"/>
    </row>
    <row r="256" spans="2:12" s="9" customFormat="1" ht="13.5" customHeight="1" x14ac:dyDescent="0.2">
      <c r="B256" s="10"/>
      <c r="C256" s="98" t="s">
        <v>305</v>
      </c>
      <c r="D256" s="70" t="s">
        <v>20</v>
      </c>
      <c r="E256" s="103" t="s">
        <v>164</v>
      </c>
      <c r="F256" s="72">
        <v>244</v>
      </c>
      <c r="G256" s="73" t="s">
        <v>98</v>
      </c>
      <c r="H256" s="71" t="s">
        <v>129</v>
      </c>
      <c r="I256" s="73"/>
      <c r="J256" s="75">
        <f>I256*976</f>
        <v>0</v>
      </c>
      <c r="K256" s="74"/>
      <c r="L256" s="11"/>
    </row>
    <row r="257" spans="2:12" s="9" customFormat="1" ht="13.5" customHeight="1" x14ac:dyDescent="0.2">
      <c r="B257" s="10"/>
      <c r="C257" s="98" t="s">
        <v>306</v>
      </c>
      <c r="D257" s="70" t="s">
        <v>20</v>
      </c>
      <c r="E257" s="103" t="s">
        <v>109</v>
      </c>
      <c r="F257" s="72">
        <v>280</v>
      </c>
      <c r="G257" s="73" t="s">
        <v>98</v>
      </c>
      <c r="H257" s="71" t="s">
        <v>118</v>
      </c>
      <c r="I257" s="73"/>
      <c r="J257" s="75">
        <f>I257*280</f>
        <v>0</v>
      </c>
      <c r="K257" s="74"/>
      <c r="L257" s="11"/>
    </row>
    <row r="258" spans="2:12" s="9" customFormat="1" ht="13.5" customHeight="1" x14ac:dyDescent="0.2">
      <c r="B258" s="10"/>
      <c r="C258" s="98" t="s">
        <v>307</v>
      </c>
      <c r="D258" s="70" t="s">
        <v>20</v>
      </c>
      <c r="E258" s="103" t="s">
        <v>164</v>
      </c>
      <c r="F258" s="72">
        <v>287</v>
      </c>
      <c r="G258" s="73" t="s">
        <v>98</v>
      </c>
      <c r="H258" s="71" t="s">
        <v>118</v>
      </c>
      <c r="I258" s="73"/>
      <c r="J258" s="75">
        <f>I258*287</f>
        <v>0</v>
      </c>
      <c r="K258" s="74"/>
      <c r="L258" s="11"/>
    </row>
    <row r="259" spans="2:12" s="9" customFormat="1" ht="13.5" customHeight="1" x14ac:dyDescent="0.2">
      <c r="B259" s="10"/>
      <c r="C259" s="98" t="s">
        <v>308</v>
      </c>
      <c r="D259" s="70" t="s">
        <v>20</v>
      </c>
      <c r="E259" s="103" t="s">
        <v>164</v>
      </c>
      <c r="F259" s="72">
        <v>310</v>
      </c>
      <c r="G259" s="73" t="s">
        <v>98</v>
      </c>
      <c r="H259" s="71" t="s">
        <v>118</v>
      </c>
      <c r="I259" s="73"/>
      <c r="J259" s="75">
        <f>I259*310</f>
        <v>0</v>
      </c>
      <c r="K259" s="74"/>
      <c r="L259" s="11"/>
    </row>
    <row r="260" spans="2:12" s="9" customFormat="1" ht="13.5" customHeight="1" x14ac:dyDescent="0.2">
      <c r="B260" s="10"/>
      <c r="C260" s="99" t="s">
        <v>309</v>
      </c>
      <c r="D260" s="76" t="s">
        <v>20</v>
      </c>
      <c r="E260" s="104" t="s">
        <v>164</v>
      </c>
      <c r="F260" s="78">
        <v>320</v>
      </c>
      <c r="G260" s="79" t="s">
        <v>98</v>
      </c>
      <c r="H260" s="77" t="s">
        <v>118</v>
      </c>
      <c r="I260" s="79"/>
      <c r="J260" s="81">
        <f>I260*320</f>
        <v>0</v>
      </c>
      <c r="K260" s="80"/>
      <c r="L260" s="11"/>
    </row>
    <row r="261" spans="2:12" s="9" customFormat="1" ht="13.5" customHeight="1" x14ac:dyDescent="0.2">
      <c r="B261" s="10"/>
      <c r="C261" s="98" t="s">
        <v>310</v>
      </c>
      <c r="D261" s="70" t="s">
        <v>20</v>
      </c>
      <c r="E261" s="103" t="s">
        <v>158</v>
      </c>
      <c r="F261" s="72">
        <v>332.5</v>
      </c>
      <c r="G261" s="73" t="s">
        <v>98</v>
      </c>
      <c r="H261" s="71" t="s">
        <v>129</v>
      </c>
      <c r="I261" s="73"/>
      <c r="J261" s="75">
        <f>I261*1330</f>
        <v>0</v>
      </c>
      <c r="K261" s="74"/>
      <c r="L261" s="11"/>
    </row>
    <row r="262" spans="2:12" s="9" customFormat="1" ht="13.5" customHeight="1" x14ac:dyDescent="0.2">
      <c r="B262" s="10"/>
      <c r="C262" s="98" t="s">
        <v>311</v>
      </c>
      <c r="D262" s="70" t="s">
        <v>20</v>
      </c>
      <c r="E262" s="103" t="s">
        <v>21</v>
      </c>
      <c r="F262" s="72">
        <v>339</v>
      </c>
      <c r="G262" s="73" t="s">
        <v>98</v>
      </c>
      <c r="H262" s="71" t="s">
        <v>214</v>
      </c>
      <c r="I262" s="73"/>
      <c r="J262" s="75">
        <f>I262*2034</f>
        <v>0</v>
      </c>
      <c r="K262" s="74"/>
      <c r="L262" s="11"/>
    </row>
    <row r="263" spans="2:12" s="9" customFormat="1" ht="13.5" customHeight="1" x14ac:dyDescent="0.2">
      <c r="B263" s="10"/>
      <c r="C263" s="98" t="s">
        <v>312</v>
      </c>
      <c r="D263" s="70" t="s">
        <v>20</v>
      </c>
      <c r="E263" s="103" t="s">
        <v>21</v>
      </c>
      <c r="F263" s="72">
        <v>351</v>
      </c>
      <c r="G263" s="73" t="s">
        <v>98</v>
      </c>
      <c r="H263" s="71" t="s">
        <v>129</v>
      </c>
      <c r="I263" s="73"/>
      <c r="J263" s="75">
        <f>I263*1404</f>
        <v>0</v>
      </c>
      <c r="K263" s="74"/>
      <c r="L263" s="11"/>
    </row>
    <row r="264" spans="2:12" s="9" customFormat="1" ht="13.5" customHeight="1" x14ac:dyDescent="0.2">
      <c r="B264" s="10"/>
      <c r="C264" s="98" t="s">
        <v>313</v>
      </c>
      <c r="D264" s="70" t="s">
        <v>20</v>
      </c>
      <c r="E264" s="103" t="s">
        <v>314</v>
      </c>
      <c r="F264" s="72">
        <v>353</v>
      </c>
      <c r="G264" s="73" t="s">
        <v>98</v>
      </c>
      <c r="H264" s="71" t="s">
        <v>129</v>
      </c>
      <c r="I264" s="73"/>
      <c r="J264" s="75">
        <f>I264*1412</f>
        <v>0</v>
      </c>
      <c r="K264" s="74"/>
      <c r="L264" s="11"/>
    </row>
    <row r="265" spans="2:12" s="9" customFormat="1" ht="13.5" customHeight="1" x14ac:dyDescent="0.2">
      <c r="B265" s="10"/>
      <c r="C265" s="98" t="s">
        <v>315</v>
      </c>
      <c r="D265" s="70" t="s">
        <v>20</v>
      </c>
      <c r="E265" s="103" t="s">
        <v>299</v>
      </c>
      <c r="F265" s="72">
        <v>362</v>
      </c>
      <c r="G265" s="73" t="s">
        <v>98</v>
      </c>
      <c r="H265" s="71" t="s">
        <v>118</v>
      </c>
      <c r="I265" s="73"/>
      <c r="J265" s="75">
        <f>I265*362</f>
        <v>0</v>
      </c>
      <c r="K265" s="74"/>
      <c r="L265" s="11"/>
    </row>
    <row r="266" spans="2:12" s="9" customFormat="1" ht="13.5" customHeight="1" x14ac:dyDescent="0.2">
      <c r="B266" s="10"/>
      <c r="C266" s="98" t="s">
        <v>316</v>
      </c>
      <c r="D266" s="70" t="s">
        <v>20</v>
      </c>
      <c r="E266" s="103" t="s">
        <v>158</v>
      </c>
      <c r="F266" s="72">
        <v>380</v>
      </c>
      <c r="G266" s="73" t="s">
        <v>98</v>
      </c>
      <c r="H266" s="71" t="s">
        <v>118</v>
      </c>
      <c r="I266" s="73"/>
      <c r="J266" s="75">
        <f>I266*380</f>
        <v>0</v>
      </c>
      <c r="K266" s="74"/>
      <c r="L266" s="11"/>
    </row>
    <row r="267" spans="2:12" s="9" customFormat="1" ht="13.5" customHeight="1" x14ac:dyDescent="0.2">
      <c r="B267" s="10"/>
      <c r="C267" s="98" t="s">
        <v>317</v>
      </c>
      <c r="D267" s="70" t="s">
        <v>20</v>
      </c>
      <c r="E267" s="103" t="s">
        <v>158</v>
      </c>
      <c r="F267" s="72">
        <v>380</v>
      </c>
      <c r="G267" s="73" t="s">
        <v>98</v>
      </c>
      <c r="H267" s="71" t="s">
        <v>118</v>
      </c>
      <c r="I267" s="73"/>
      <c r="J267" s="75">
        <f>I267*380</f>
        <v>0</v>
      </c>
      <c r="K267" s="74"/>
      <c r="L267" s="11"/>
    </row>
    <row r="268" spans="2:12" s="9" customFormat="1" ht="13.5" customHeight="1" x14ac:dyDescent="0.2">
      <c r="B268" s="10"/>
      <c r="C268" s="98" t="s">
        <v>318</v>
      </c>
      <c r="D268" s="70" t="s">
        <v>20</v>
      </c>
      <c r="E268" s="103" t="s">
        <v>109</v>
      </c>
      <c r="F268" s="72">
        <v>390</v>
      </c>
      <c r="G268" s="73" t="s">
        <v>98</v>
      </c>
      <c r="H268" s="71" t="s">
        <v>118</v>
      </c>
      <c r="I268" s="73"/>
      <c r="J268" s="75">
        <f>I268*390</f>
        <v>0</v>
      </c>
      <c r="K268" s="74"/>
      <c r="L268" s="11"/>
    </row>
    <row r="269" spans="2:12" s="9" customFormat="1" ht="13.5" customHeight="1" x14ac:dyDescent="0.2">
      <c r="B269" s="10"/>
      <c r="C269" s="99" t="s">
        <v>319</v>
      </c>
      <c r="D269" s="76" t="s">
        <v>20</v>
      </c>
      <c r="E269" s="104" t="s">
        <v>164</v>
      </c>
      <c r="F269" s="78">
        <v>394</v>
      </c>
      <c r="G269" s="79" t="s">
        <v>98</v>
      </c>
      <c r="H269" s="77" t="s">
        <v>214</v>
      </c>
      <c r="I269" s="79"/>
      <c r="J269" s="81">
        <f>I269*2364</f>
        <v>0</v>
      </c>
      <c r="K269" s="80"/>
      <c r="L269" s="11"/>
    </row>
    <row r="270" spans="2:12" s="9" customFormat="1" ht="13.5" customHeight="1" x14ac:dyDescent="0.2">
      <c r="B270" s="10"/>
      <c r="C270" s="98" t="s">
        <v>320</v>
      </c>
      <c r="D270" s="70" t="s">
        <v>20</v>
      </c>
      <c r="E270" s="103" t="s">
        <v>109</v>
      </c>
      <c r="F270" s="72">
        <v>420</v>
      </c>
      <c r="G270" s="73" t="s">
        <v>98</v>
      </c>
      <c r="H270" s="71" t="s">
        <v>118</v>
      </c>
      <c r="I270" s="73"/>
      <c r="J270" s="75">
        <f>I270*420</f>
        <v>0</v>
      </c>
      <c r="K270" s="74"/>
      <c r="L270" s="11"/>
    </row>
    <row r="271" spans="2:12" s="9" customFormat="1" ht="13.5" customHeight="1" x14ac:dyDescent="0.2">
      <c r="B271" s="10"/>
      <c r="C271" s="98" t="s">
        <v>321</v>
      </c>
      <c r="D271" s="70" t="s">
        <v>20</v>
      </c>
      <c r="E271" s="103" t="s">
        <v>109</v>
      </c>
      <c r="F271" s="72">
        <v>420</v>
      </c>
      <c r="G271" s="73" t="s">
        <v>98</v>
      </c>
      <c r="H271" s="71" t="s">
        <v>118</v>
      </c>
      <c r="I271" s="73"/>
      <c r="J271" s="75">
        <f>I271*420</f>
        <v>0</v>
      </c>
      <c r="K271" s="74"/>
      <c r="L271" s="11"/>
    </row>
    <row r="272" spans="2:12" s="9" customFormat="1" ht="13.5" customHeight="1" x14ac:dyDescent="0.2">
      <c r="B272" s="10"/>
      <c r="C272" s="98" t="s">
        <v>322</v>
      </c>
      <c r="D272" s="70" t="s">
        <v>20</v>
      </c>
      <c r="E272" s="103" t="s">
        <v>158</v>
      </c>
      <c r="F272" s="72">
        <v>420</v>
      </c>
      <c r="G272" s="73" t="s">
        <v>98</v>
      </c>
      <c r="H272" s="71" t="s">
        <v>118</v>
      </c>
      <c r="I272" s="73"/>
      <c r="J272" s="75">
        <f>I272*420</f>
        <v>0</v>
      </c>
      <c r="K272" s="74"/>
      <c r="L272" s="11"/>
    </row>
    <row r="273" spans="2:12" s="9" customFormat="1" ht="13.5" customHeight="1" x14ac:dyDescent="0.2">
      <c r="B273" s="10"/>
      <c r="C273" s="99" t="s">
        <v>323</v>
      </c>
      <c r="D273" s="76" t="s">
        <v>20</v>
      </c>
      <c r="E273" s="104" t="s">
        <v>299</v>
      </c>
      <c r="F273" s="78">
        <v>426</v>
      </c>
      <c r="G273" s="79" t="s">
        <v>98</v>
      </c>
      <c r="H273" s="77" t="s">
        <v>129</v>
      </c>
      <c r="I273" s="79"/>
      <c r="J273" s="81">
        <f>I273*1704</f>
        <v>0</v>
      </c>
      <c r="K273" s="80"/>
      <c r="L273" s="11"/>
    </row>
    <row r="274" spans="2:12" s="9" customFormat="1" ht="13.5" customHeight="1" x14ac:dyDescent="0.2">
      <c r="B274" s="10"/>
      <c r="C274" s="98" t="s">
        <v>324</v>
      </c>
      <c r="D274" s="70" t="s">
        <v>20</v>
      </c>
      <c r="E274" s="103" t="s">
        <v>25</v>
      </c>
      <c r="F274" s="72">
        <v>427.75</v>
      </c>
      <c r="G274" s="73" t="s">
        <v>98</v>
      </c>
      <c r="H274" s="71" t="s">
        <v>118</v>
      </c>
      <c r="I274" s="73"/>
      <c r="J274" s="75">
        <f>I274*427.75</f>
        <v>0</v>
      </c>
      <c r="K274" s="74"/>
      <c r="L274" s="11"/>
    </row>
    <row r="275" spans="2:12" s="9" customFormat="1" ht="13.5" customHeight="1" x14ac:dyDescent="0.2">
      <c r="B275" s="10"/>
      <c r="C275" s="98" t="s">
        <v>325</v>
      </c>
      <c r="D275" s="70" t="s">
        <v>20</v>
      </c>
      <c r="E275" s="103" t="s">
        <v>164</v>
      </c>
      <c r="F275" s="72">
        <v>435</v>
      </c>
      <c r="G275" s="73" t="s">
        <v>98</v>
      </c>
      <c r="H275" s="71" t="s">
        <v>118</v>
      </c>
      <c r="I275" s="73"/>
      <c r="J275" s="75">
        <f>I275*435</f>
        <v>0</v>
      </c>
      <c r="K275" s="74"/>
      <c r="L275" s="11"/>
    </row>
    <row r="276" spans="2:12" s="9" customFormat="1" ht="13.5" customHeight="1" x14ac:dyDescent="0.2">
      <c r="B276" s="10"/>
      <c r="C276" s="98" t="s">
        <v>326</v>
      </c>
      <c r="D276" s="70" t="s">
        <v>20</v>
      </c>
      <c r="E276" s="103" t="s">
        <v>164</v>
      </c>
      <c r="F276" s="72">
        <v>450</v>
      </c>
      <c r="G276" s="73" t="s">
        <v>98</v>
      </c>
      <c r="H276" s="71" t="s">
        <v>118</v>
      </c>
      <c r="I276" s="73"/>
      <c r="J276" s="75">
        <f>I276*450</f>
        <v>0</v>
      </c>
      <c r="K276" s="74"/>
      <c r="L276" s="11"/>
    </row>
    <row r="277" spans="2:12" s="9" customFormat="1" ht="13.5" customHeight="1" x14ac:dyDescent="0.2">
      <c r="B277" s="10"/>
      <c r="C277" s="98" t="s">
        <v>327</v>
      </c>
      <c r="D277" s="70" t="s">
        <v>20</v>
      </c>
      <c r="E277" s="103" t="s">
        <v>164</v>
      </c>
      <c r="F277" s="72">
        <v>457</v>
      </c>
      <c r="G277" s="73" t="s">
        <v>98</v>
      </c>
      <c r="H277" s="71" t="s">
        <v>129</v>
      </c>
      <c r="I277" s="73"/>
      <c r="J277" s="75">
        <f>I277*1828</f>
        <v>0</v>
      </c>
      <c r="K277" s="74"/>
      <c r="L277" s="11"/>
    </row>
    <row r="278" spans="2:12" s="9" customFormat="1" ht="13.5" customHeight="1" x14ac:dyDescent="0.2">
      <c r="B278" s="10"/>
      <c r="C278" s="98" t="s">
        <v>328</v>
      </c>
      <c r="D278" s="70" t="s">
        <v>20</v>
      </c>
      <c r="E278" s="103" t="s">
        <v>21</v>
      </c>
      <c r="F278" s="72">
        <v>457</v>
      </c>
      <c r="G278" s="73" t="s">
        <v>98</v>
      </c>
      <c r="H278" s="71" t="s">
        <v>129</v>
      </c>
      <c r="I278" s="73"/>
      <c r="J278" s="75">
        <f>I278*1828</f>
        <v>0</v>
      </c>
      <c r="K278" s="74"/>
      <c r="L278" s="11"/>
    </row>
    <row r="279" spans="2:12" s="9" customFormat="1" ht="13.5" customHeight="1" x14ac:dyDescent="0.2">
      <c r="B279" s="10"/>
      <c r="C279" s="99" t="s">
        <v>329</v>
      </c>
      <c r="D279" s="76" t="s">
        <v>20</v>
      </c>
      <c r="E279" s="104" t="s">
        <v>109</v>
      </c>
      <c r="F279" s="78">
        <v>465</v>
      </c>
      <c r="G279" s="79" t="s">
        <v>98</v>
      </c>
      <c r="H279" s="77" t="s">
        <v>237</v>
      </c>
      <c r="I279" s="79"/>
      <c r="J279" s="81">
        <f>I279*2325</f>
        <v>0</v>
      </c>
      <c r="K279" s="80"/>
      <c r="L279" s="11"/>
    </row>
    <row r="280" spans="2:12" s="9" customFormat="1" ht="13.5" customHeight="1" x14ac:dyDescent="0.2">
      <c r="B280" s="10"/>
      <c r="C280" s="99" t="s">
        <v>330</v>
      </c>
      <c r="D280" s="76" t="s">
        <v>20</v>
      </c>
      <c r="E280" s="104" t="s">
        <v>164</v>
      </c>
      <c r="F280" s="78">
        <v>470</v>
      </c>
      <c r="G280" s="79" t="s">
        <v>98</v>
      </c>
      <c r="H280" s="77" t="s">
        <v>129</v>
      </c>
      <c r="I280" s="79"/>
      <c r="J280" s="81">
        <f>I280*1880</f>
        <v>0</v>
      </c>
      <c r="K280" s="80"/>
      <c r="L280" s="11"/>
    </row>
    <row r="281" spans="2:12" s="9" customFormat="1" ht="13.5" customHeight="1" x14ac:dyDescent="0.2">
      <c r="B281" s="10"/>
      <c r="C281" s="98" t="s">
        <v>331</v>
      </c>
      <c r="D281" s="70" t="s">
        <v>20</v>
      </c>
      <c r="E281" s="103" t="s">
        <v>109</v>
      </c>
      <c r="F281" s="72">
        <v>480</v>
      </c>
      <c r="G281" s="73" t="s">
        <v>98</v>
      </c>
      <c r="H281" s="71" t="s">
        <v>118</v>
      </c>
      <c r="I281" s="73"/>
      <c r="J281" s="75">
        <f>I281*480</f>
        <v>0</v>
      </c>
      <c r="K281" s="74"/>
      <c r="L281" s="11"/>
    </row>
    <row r="282" spans="2:12" s="9" customFormat="1" ht="13.5" customHeight="1" x14ac:dyDescent="0.2">
      <c r="B282" s="10"/>
      <c r="C282" s="98" t="s">
        <v>332</v>
      </c>
      <c r="D282" s="70" t="s">
        <v>20</v>
      </c>
      <c r="E282" s="103" t="s">
        <v>109</v>
      </c>
      <c r="F282" s="72">
        <v>490</v>
      </c>
      <c r="G282" s="73" t="s">
        <v>98</v>
      </c>
      <c r="H282" s="71" t="s">
        <v>118</v>
      </c>
      <c r="I282" s="73"/>
      <c r="J282" s="75">
        <f>I282*490</f>
        <v>0</v>
      </c>
      <c r="K282" s="74"/>
      <c r="L282" s="11"/>
    </row>
    <row r="283" spans="2:12" s="9" customFormat="1" ht="13.5" customHeight="1" x14ac:dyDescent="0.2">
      <c r="B283" s="10"/>
      <c r="C283" s="98" t="s">
        <v>333</v>
      </c>
      <c r="D283" s="70" t="s">
        <v>20</v>
      </c>
      <c r="E283" s="103" t="s">
        <v>158</v>
      </c>
      <c r="F283" s="72">
        <v>497.5</v>
      </c>
      <c r="G283" s="73" t="s">
        <v>98</v>
      </c>
      <c r="H283" s="71" t="s">
        <v>129</v>
      </c>
      <c r="I283" s="73"/>
      <c r="J283" s="75">
        <f>I283*1990</f>
        <v>0</v>
      </c>
      <c r="K283" s="74"/>
      <c r="L283" s="11"/>
    </row>
    <row r="284" spans="2:12" s="9" customFormat="1" ht="13.5" customHeight="1" x14ac:dyDescent="0.2">
      <c r="B284" s="10"/>
      <c r="C284" s="99" t="s">
        <v>334</v>
      </c>
      <c r="D284" s="76" t="s">
        <v>20</v>
      </c>
      <c r="E284" s="104" t="s">
        <v>164</v>
      </c>
      <c r="F284" s="78">
        <v>517</v>
      </c>
      <c r="G284" s="79" t="s">
        <v>98</v>
      </c>
      <c r="H284" s="77" t="s">
        <v>129</v>
      </c>
      <c r="I284" s="79"/>
      <c r="J284" s="81">
        <f>I284*2068</f>
        <v>0</v>
      </c>
      <c r="K284" s="80"/>
      <c r="L284" s="11"/>
    </row>
    <row r="285" spans="2:12" s="9" customFormat="1" ht="13.5" customHeight="1" x14ac:dyDescent="0.2">
      <c r="B285" s="10"/>
      <c r="C285" s="98" t="s">
        <v>335</v>
      </c>
      <c r="D285" s="70" t="s">
        <v>20</v>
      </c>
      <c r="E285" s="103" t="s">
        <v>164</v>
      </c>
      <c r="F285" s="72">
        <v>533</v>
      </c>
      <c r="G285" s="73" t="s">
        <v>98</v>
      </c>
      <c r="H285" s="71" t="s">
        <v>118</v>
      </c>
      <c r="I285" s="73"/>
      <c r="J285" s="75">
        <f>I285*533</f>
        <v>0</v>
      </c>
      <c r="K285" s="74"/>
      <c r="L285" s="11"/>
    </row>
    <row r="286" spans="2:12" s="9" customFormat="1" ht="13.5" customHeight="1" x14ac:dyDescent="0.2">
      <c r="B286" s="10"/>
      <c r="C286" s="99" t="s">
        <v>336</v>
      </c>
      <c r="D286" s="76" t="s">
        <v>20</v>
      </c>
      <c r="E286" s="104" t="s">
        <v>164</v>
      </c>
      <c r="F286" s="78">
        <v>533</v>
      </c>
      <c r="G286" s="79" t="s">
        <v>98</v>
      </c>
      <c r="H286" s="77" t="s">
        <v>118</v>
      </c>
      <c r="I286" s="79"/>
      <c r="J286" s="81">
        <f>I286*533</f>
        <v>0</v>
      </c>
      <c r="K286" s="80"/>
      <c r="L286" s="11"/>
    </row>
    <row r="287" spans="2:12" s="9" customFormat="1" ht="13.5" customHeight="1" x14ac:dyDescent="0.2">
      <c r="B287" s="10"/>
      <c r="C287" s="98" t="s">
        <v>337</v>
      </c>
      <c r="D287" s="70" t="s">
        <v>20</v>
      </c>
      <c r="E287" s="103" t="s">
        <v>109</v>
      </c>
      <c r="F287" s="72">
        <v>550</v>
      </c>
      <c r="G287" s="73" t="s">
        <v>98</v>
      </c>
      <c r="H287" s="71" t="s">
        <v>118</v>
      </c>
      <c r="I287" s="73"/>
      <c r="J287" s="75">
        <f>I287*550</f>
        <v>0</v>
      </c>
      <c r="K287" s="74"/>
      <c r="L287" s="11"/>
    </row>
    <row r="288" spans="2:12" s="9" customFormat="1" ht="13.5" customHeight="1" x14ac:dyDescent="0.2">
      <c r="B288" s="10"/>
      <c r="C288" s="98" t="s">
        <v>338</v>
      </c>
      <c r="D288" s="70" t="s">
        <v>20</v>
      </c>
      <c r="E288" s="103" t="s">
        <v>21</v>
      </c>
      <c r="F288" s="72">
        <v>592</v>
      </c>
      <c r="G288" s="73" t="s">
        <v>98</v>
      </c>
      <c r="H288" s="71" t="s">
        <v>118</v>
      </c>
      <c r="I288" s="73"/>
      <c r="J288" s="75">
        <f>I288*592</f>
        <v>0</v>
      </c>
      <c r="K288" s="74"/>
      <c r="L288" s="11"/>
    </row>
    <row r="289" spans="2:12" s="9" customFormat="1" ht="13.5" customHeight="1" x14ac:dyDescent="0.2">
      <c r="B289" s="10"/>
      <c r="C289" s="98" t="s">
        <v>339</v>
      </c>
      <c r="D289" s="70" t="s">
        <v>20</v>
      </c>
      <c r="E289" s="103" t="s">
        <v>158</v>
      </c>
      <c r="F289" s="72">
        <v>610</v>
      </c>
      <c r="G289" s="73" t="s">
        <v>98</v>
      </c>
      <c r="H289" s="71" t="s">
        <v>118</v>
      </c>
      <c r="I289" s="73"/>
      <c r="J289" s="75">
        <f>I289*610</f>
        <v>0</v>
      </c>
      <c r="K289" s="74"/>
      <c r="L289" s="11"/>
    </row>
    <row r="290" spans="2:12" s="9" customFormat="1" ht="13.5" customHeight="1" x14ac:dyDescent="0.2">
      <c r="B290" s="10"/>
      <c r="C290" s="98" t="s">
        <v>340</v>
      </c>
      <c r="D290" s="70" t="s">
        <v>20</v>
      </c>
      <c r="E290" s="103" t="s">
        <v>164</v>
      </c>
      <c r="F290" s="72">
        <v>622</v>
      </c>
      <c r="G290" s="73" t="s">
        <v>98</v>
      </c>
      <c r="H290" s="71" t="s">
        <v>129</v>
      </c>
      <c r="I290" s="73"/>
      <c r="J290" s="75">
        <f>I290*2488</f>
        <v>0</v>
      </c>
      <c r="K290" s="74"/>
      <c r="L290" s="11"/>
    </row>
    <row r="291" spans="2:12" s="9" customFormat="1" ht="13.5" customHeight="1" x14ac:dyDescent="0.2">
      <c r="B291" s="10"/>
      <c r="C291" s="98" t="s">
        <v>341</v>
      </c>
      <c r="D291" s="70" t="s">
        <v>20</v>
      </c>
      <c r="E291" s="103" t="s">
        <v>109</v>
      </c>
      <c r="F291" s="72">
        <v>625</v>
      </c>
      <c r="G291" s="73" t="s">
        <v>98</v>
      </c>
      <c r="H291" s="71" t="s">
        <v>118</v>
      </c>
      <c r="I291" s="73"/>
      <c r="J291" s="75">
        <f>I291*625</f>
        <v>0</v>
      </c>
      <c r="K291" s="74"/>
      <c r="L291" s="11"/>
    </row>
    <row r="292" spans="2:12" s="9" customFormat="1" ht="13.5" customHeight="1" x14ac:dyDescent="0.2">
      <c r="B292" s="10"/>
      <c r="C292" s="97" t="s">
        <v>342</v>
      </c>
      <c r="D292" s="64" t="s">
        <v>20</v>
      </c>
      <c r="E292" s="102" t="s">
        <v>109</v>
      </c>
      <c r="F292" s="66">
        <v>695</v>
      </c>
      <c r="G292" s="67" t="s">
        <v>98</v>
      </c>
      <c r="H292" s="65" t="s">
        <v>118</v>
      </c>
      <c r="I292" s="67"/>
      <c r="J292" s="69">
        <f>I292*695</f>
        <v>0</v>
      </c>
      <c r="K292" s="68"/>
      <c r="L292" s="11"/>
    </row>
    <row r="293" spans="2:12" s="9" customFormat="1" ht="13.5" customHeight="1" x14ac:dyDescent="0.2">
      <c r="B293" s="10"/>
      <c r="C293" s="97" t="s">
        <v>343</v>
      </c>
      <c r="D293" s="64" t="s">
        <v>20</v>
      </c>
      <c r="E293" s="102" t="s">
        <v>109</v>
      </c>
      <c r="F293" s="66">
        <v>725</v>
      </c>
      <c r="G293" s="67" t="s">
        <v>98</v>
      </c>
      <c r="H293" s="65" t="s">
        <v>276</v>
      </c>
      <c r="I293" s="67"/>
      <c r="J293" s="69">
        <f>I293*1450</f>
        <v>0</v>
      </c>
      <c r="K293" s="68"/>
      <c r="L293" s="11"/>
    </row>
    <row r="294" spans="2:12" s="9" customFormat="1" ht="13.5" customHeight="1" x14ac:dyDescent="0.2">
      <c r="B294" s="10"/>
      <c r="C294" s="98" t="s">
        <v>344</v>
      </c>
      <c r="D294" s="70" t="s">
        <v>20</v>
      </c>
      <c r="E294" s="103" t="s">
        <v>109</v>
      </c>
      <c r="F294" s="72">
        <v>750</v>
      </c>
      <c r="G294" s="73" t="s">
        <v>98</v>
      </c>
      <c r="H294" s="71" t="s">
        <v>118</v>
      </c>
      <c r="I294" s="73"/>
      <c r="J294" s="75">
        <f>I294*750</f>
        <v>0</v>
      </c>
      <c r="K294" s="74"/>
      <c r="L294" s="11"/>
    </row>
    <row r="295" spans="2:12" s="9" customFormat="1" ht="13.5" customHeight="1" x14ac:dyDescent="0.2">
      <c r="B295" s="10"/>
      <c r="C295" s="98" t="s">
        <v>345</v>
      </c>
      <c r="D295" s="70" t="s">
        <v>20</v>
      </c>
      <c r="E295" s="103" t="s">
        <v>21</v>
      </c>
      <c r="F295" s="72">
        <v>764</v>
      </c>
      <c r="G295" s="73" t="s">
        <v>98</v>
      </c>
      <c r="H295" s="71" t="s">
        <v>129</v>
      </c>
      <c r="I295" s="73"/>
      <c r="J295" s="75">
        <f>I295*3056</f>
        <v>0</v>
      </c>
      <c r="K295" s="74"/>
      <c r="L295" s="11"/>
    </row>
    <row r="296" spans="2:12" s="9" customFormat="1" ht="13.5" customHeight="1" x14ac:dyDescent="0.2">
      <c r="B296" s="10"/>
      <c r="C296" s="98" t="s">
        <v>346</v>
      </c>
      <c r="D296" s="70" t="s">
        <v>20</v>
      </c>
      <c r="E296" s="103" t="s">
        <v>109</v>
      </c>
      <c r="F296" s="72">
        <v>785</v>
      </c>
      <c r="G296" s="73" t="s">
        <v>98</v>
      </c>
      <c r="H296" s="71" t="s">
        <v>118</v>
      </c>
      <c r="I296" s="73"/>
      <c r="J296" s="75">
        <f>I296*785</f>
        <v>0</v>
      </c>
      <c r="K296" s="74"/>
      <c r="L296" s="11"/>
    </row>
    <row r="297" spans="2:12" s="9" customFormat="1" ht="13.5" customHeight="1" x14ac:dyDescent="0.2">
      <c r="B297" s="10"/>
      <c r="C297" s="98" t="s">
        <v>347</v>
      </c>
      <c r="D297" s="70" t="s">
        <v>20</v>
      </c>
      <c r="E297" s="103" t="s">
        <v>158</v>
      </c>
      <c r="F297" s="72">
        <v>787.5</v>
      </c>
      <c r="G297" s="73" t="s">
        <v>98</v>
      </c>
      <c r="H297" s="71" t="s">
        <v>129</v>
      </c>
      <c r="I297" s="73"/>
      <c r="J297" s="75">
        <f>I297*3150</f>
        <v>0</v>
      </c>
      <c r="K297" s="74"/>
      <c r="L297" s="11"/>
    </row>
    <row r="298" spans="2:12" s="9" customFormat="1" ht="13.5" customHeight="1" x14ac:dyDescent="0.2">
      <c r="B298" s="10"/>
      <c r="C298" s="98" t="s">
        <v>348</v>
      </c>
      <c r="D298" s="70" t="s">
        <v>20</v>
      </c>
      <c r="E298" s="103" t="s">
        <v>21</v>
      </c>
      <c r="F298" s="72">
        <v>894</v>
      </c>
      <c r="G298" s="73" t="s">
        <v>98</v>
      </c>
      <c r="H298" s="71" t="s">
        <v>118</v>
      </c>
      <c r="I298" s="73"/>
      <c r="J298" s="75">
        <f>I298*894</f>
        <v>0</v>
      </c>
      <c r="K298" s="74"/>
      <c r="L298" s="11"/>
    </row>
    <row r="299" spans="2:12" s="9" customFormat="1" ht="13.5" customHeight="1" x14ac:dyDescent="0.2">
      <c r="B299" s="10"/>
      <c r="C299" s="98" t="s">
        <v>349</v>
      </c>
      <c r="D299" s="70" t="s">
        <v>20</v>
      </c>
      <c r="E299" s="103" t="s">
        <v>299</v>
      </c>
      <c r="F299" s="72">
        <v>943</v>
      </c>
      <c r="G299" s="73" t="s">
        <v>98</v>
      </c>
      <c r="H299" s="71" t="s">
        <v>129</v>
      </c>
      <c r="I299" s="73"/>
      <c r="J299" s="75">
        <f>I299*3772</f>
        <v>0</v>
      </c>
      <c r="K299" s="74"/>
      <c r="L299" s="11"/>
    </row>
    <row r="300" spans="2:12" s="9" customFormat="1" ht="13.5" customHeight="1" x14ac:dyDescent="0.2">
      <c r="B300" s="10"/>
      <c r="C300" s="98" t="s">
        <v>350</v>
      </c>
      <c r="D300" s="70" t="s">
        <v>20</v>
      </c>
      <c r="E300" s="103" t="s">
        <v>299</v>
      </c>
      <c r="F300" s="72">
        <v>990.75</v>
      </c>
      <c r="G300" s="73" t="s">
        <v>98</v>
      </c>
      <c r="H300" s="71" t="s">
        <v>118</v>
      </c>
      <c r="I300" s="73"/>
      <c r="J300" s="75">
        <f>I300*990.75</f>
        <v>0</v>
      </c>
      <c r="K300" s="74"/>
      <c r="L300" s="11"/>
    </row>
    <row r="301" spans="2:12" s="9" customFormat="1" ht="13.5" customHeight="1" x14ac:dyDescent="0.2">
      <c r="B301" s="10"/>
      <c r="C301" s="98" t="s">
        <v>351</v>
      </c>
      <c r="D301" s="70" t="s">
        <v>20</v>
      </c>
      <c r="E301" s="103" t="s">
        <v>109</v>
      </c>
      <c r="F301" s="75">
        <v>1050</v>
      </c>
      <c r="G301" s="73" t="s">
        <v>98</v>
      </c>
      <c r="H301" s="71" t="s">
        <v>129</v>
      </c>
      <c r="I301" s="73"/>
      <c r="J301" s="75">
        <f>I301*4200</f>
        <v>0</v>
      </c>
      <c r="K301" s="74"/>
      <c r="L301" s="11"/>
    </row>
    <row r="302" spans="2:12" s="9" customFormat="1" ht="13.5" customHeight="1" x14ac:dyDescent="0.2">
      <c r="B302" s="10"/>
      <c r="C302" s="98" t="s">
        <v>352</v>
      </c>
      <c r="D302" s="70" t="s">
        <v>20</v>
      </c>
      <c r="E302" s="103" t="s">
        <v>109</v>
      </c>
      <c r="F302" s="75">
        <v>1100</v>
      </c>
      <c r="G302" s="73" t="s">
        <v>98</v>
      </c>
      <c r="H302" s="71" t="s">
        <v>118</v>
      </c>
      <c r="I302" s="73"/>
      <c r="J302" s="75">
        <f>I302*1100</f>
        <v>0</v>
      </c>
      <c r="K302" s="74"/>
      <c r="L302" s="11"/>
    </row>
    <row r="303" spans="2:12" s="9" customFormat="1" ht="13.5" customHeight="1" x14ac:dyDescent="0.2">
      <c r="B303" s="10"/>
      <c r="C303" s="98" t="s">
        <v>353</v>
      </c>
      <c r="D303" s="70" t="s">
        <v>20</v>
      </c>
      <c r="E303" s="103" t="s">
        <v>164</v>
      </c>
      <c r="F303" s="75">
        <v>1125</v>
      </c>
      <c r="G303" s="73" t="s">
        <v>98</v>
      </c>
      <c r="H303" s="71" t="s">
        <v>118</v>
      </c>
      <c r="I303" s="73"/>
      <c r="J303" s="75">
        <f>I303*1125</f>
        <v>0</v>
      </c>
      <c r="K303" s="74"/>
      <c r="L303" s="11"/>
    </row>
    <row r="304" spans="2:12" s="9" customFormat="1" ht="13.5" customHeight="1" x14ac:dyDescent="0.2">
      <c r="B304" s="10"/>
      <c r="C304" s="98" t="s">
        <v>354</v>
      </c>
      <c r="D304" s="70" t="s">
        <v>20</v>
      </c>
      <c r="E304" s="103" t="s">
        <v>25</v>
      </c>
      <c r="F304" s="75">
        <v>1132</v>
      </c>
      <c r="G304" s="73" t="s">
        <v>98</v>
      </c>
      <c r="H304" s="71" t="s">
        <v>118</v>
      </c>
      <c r="I304" s="73"/>
      <c r="J304" s="75">
        <f>I304*1132</f>
        <v>0</v>
      </c>
      <c r="K304" s="74"/>
      <c r="L304" s="11"/>
    </row>
    <row r="305" spans="2:12" s="9" customFormat="1" ht="13.5" customHeight="1" x14ac:dyDescent="0.2">
      <c r="B305" s="10"/>
      <c r="C305" s="98" t="s">
        <v>355</v>
      </c>
      <c r="D305" s="70" t="s">
        <v>20</v>
      </c>
      <c r="E305" s="103" t="s">
        <v>158</v>
      </c>
      <c r="F305" s="75">
        <v>1190</v>
      </c>
      <c r="G305" s="73" t="s">
        <v>98</v>
      </c>
      <c r="H305" s="71" t="s">
        <v>118</v>
      </c>
      <c r="I305" s="73"/>
      <c r="J305" s="75">
        <f>I305*1190</f>
        <v>0</v>
      </c>
      <c r="K305" s="74"/>
      <c r="L305" s="11"/>
    </row>
    <row r="306" spans="2:12" s="9" customFormat="1" ht="13.5" customHeight="1" x14ac:dyDescent="0.2">
      <c r="B306" s="10"/>
      <c r="C306" s="98" t="s">
        <v>356</v>
      </c>
      <c r="D306" s="70" t="s">
        <v>20</v>
      </c>
      <c r="E306" s="103" t="s">
        <v>109</v>
      </c>
      <c r="F306" s="75">
        <v>1290</v>
      </c>
      <c r="G306" s="73" t="s">
        <v>98</v>
      </c>
      <c r="H306" s="71" t="s">
        <v>118</v>
      </c>
      <c r="I306" s="73"/>
      <c r="J306" s="75">
        <f>I306*1290</f>
        <v>0</v>
      </c>
      <c r="K306" s="74"/>
      <c r="L306" s="11"/>
    </row>
    <row r="307" spans="2:12" s="9" customFormat="1" ht="13.5" customHeight="1" x14ac:dyDescent="0.2">
      <c r="B307" s="10"/>
      <c r="C307" s="98" t="s">
        <v>357</v>
      </c>
      <c r="D307" s="70" t="s">
        <v>20</v>
      </c>
      <c r="E307" s="103" t="s">
        <v>164</v>
      </c>
      <c r="F307" s="75">
        <v>1330</v>
      </c>
      <c r="G307" s="73" t="s">
        <v>98</v>
      </c>
      <c r="H307" s="71" t="s">
        <v>118</v>
      </c>
      <c r="I307" s="73"/>
      <c r="J307" s="75">
        <f>I307*1330</f>
        <v>0</v>
      </c>
      <c r="K307" s="74"/>
      <c r="L307" s="11"/>
    </row>
    <row r="308" spans="2:12" s="9" customFormat="1" ht="13.5" customHeight="1" x14ac:dyDescent="0.2">
      <c r="B308" s="10"/>
      <c r="C308" s="98" t="s">
        <v>358</v>
      </c>
      <c r="D308" s="70" t="s">
        <v>20</v>
      </c>
      <c r="E308" s="103" t="s">
        <v>158</v>
      </c>
      <c r="F308" s="75">
        <v>1365</v>
      </c>
      <c r="G308" s="73" t="s">
        <v>98</v>
      </c>
      <c r="H308" s="71" t="s">
        <v>276</v>
      </c>
      <c r="I308" s="73"/>
      <c r="J308" s="75">
        <f>I308*2730</f>
        <v>0</v>
      </c>
      <c r="K308" s="74"/>
      <c r="L308" s="11"/>
    </row>
    <row r="309" spans="2:12" s="9" customFormat="1" ht="13.5" customHeight="1" x14ac:dyDescent="0.2">
      <c r="B309" s="10"/>
      <c r="C309" s="99" t="s">
        <v>359</v>
      </c>
      <c r="D309" s="76" t="s">
        <v>20</v>
      </c>
      <c r="E309" s="104" t="s">
        <v>164</v>
      </c>
      <c r="F309" s="81">
        <v>1399</v>
      </c>
      <c r="G309" s="79" t="s">
        <v>98</v>
      </c>
      <c r="H309" s="77" t="s">
        <v>276</v>
      </c>
      <c r="I309" s="79"/>
      <c r="J309" s="81">
        <f>I309*2798</f>
        <v>0</v>
      </c>
      <c r="K309" s="80"/>
      <c r="L309" s="11"/>
    </row>
    <row r="310" spans="2:12" s="9" customFormat="1" ht="13.5" customHeight="1" x14ac:dyDescent="0.2">
      <c r="B310" s="10"/>
      <c r="C310" s="98" t="s">
        <v>360</v>
      </c>
      <c r="D310" s="70" t="s">
        <v>20</v>
      </c>
      <c r="E310" s="103" t="s">
        <v>164</v>
      </c>
      <c r="F310" s="75">
        <v>1425</v>
      </c>
      <c r="G310" s="73" t="s">
        <v>98</v>
      </c>
      <c r="H310" s="71" t="s">
        <v>276</v>
      </c>
      <c r="I310" s="73"/>
      <c r="J310" s="75">
        <f>I310*2850</f>
        <v>0</v>
      </c>
      <c r="K310" s="74"/>
      <c r="L310" s="11"/>
    </row>
    <row r="311" spans="2:12" s="9" customFormat="1" ht="13.5" customHeight="1" x14ac:dyDescent="0.2">
      <c r="B311" s="10"/>
      <c r="C311" s="98" t="s">
        <v>361</v>
      </c>
      <c r="D311" s="70" t="s">
        <v>20</v>
      </c>
      <c r="E311" s="103" t="s">
        <v>164</v>
      </c>
      <c r="F311" s="75">
        <v>1569</v>
      </c>
      <c r="G311" s="73" t="s">
        <v>98</v>
      </c>
      <c r="H311" s="71" t="s">
        <v>276</v>
      </c>
      <c r="I311" s="73"/>
      <c r="J311" s="75">
        <f>I311*3138</f>
        <v>0</v>
      </c>
      <c r="K311" s="74"/>
      <c r="L311" s="11"/>
    </row>
    <row r="312" spans="2:12" s="9" customFormat="1" ht="13.5" customHeight="1" x14ac:dyDescent="0.2">
      <c r="B312" s="10"/>
      <c r="C312" s="98" t="s">
        <v>362</v>
      </c>
      <c r="D312" s="70" t="s">
        <v>20</v>
      </c>
      <c r="E312" s="103" t="s">
        <v>164</v>
      </c>
      <c r="F312" s="75">
        <v>1585</v>
      </c>
      <c r="G312" s="73" t="s">
        <v>98</v>
      </c>
      <c r="H312" s="71" t="s">
        <v>276</v>
      </c>
      <c r="I312" s="73"/>
      <c r="J312" s="75">
        <f>I312*3170</f>
        <v>0</v>
      </c>
      <c r="K312" s="74"/>
      <c r="L312" s="11"/>
    </row>
    <row r="313" spans="2:12" s="9" customFormat="1" ht="13.5" customHeight="1" x14ac:dyDescent="0.2">
      <c r="B313" s="10"/>
      <c r="C313" s="98" t="s">
        <v>363</v>
      </c>
      <c r="D313" s="70" t="s">
        <v>20</v>
      </c>
      <c r="E313" s="103" t="s">
        <v>164</v>
      </c>
      <c r="F313" s="75">
        <v>1590</v>
      </c>
      <c r="G313" s="73" t="s">
        <v>98</v>
      </c>
      <c r="H313" s="71" t="s">
        <v>276</v>
      </c>
      <c r="I313" s="73"/>
      <c r="J313" s="75">
        <f>I313*3180</f>
        <v>0</v>
      </c>
      <c r="K313" s="74"/>
      <c r="L313" s="11"/>
    </row>
    <row r="314" spans="2:12" s="9" customFormat="1" ht="13.5" customHeight="1" x14ac:dyDescent="0.2">
      <c r="B314" s="10"/>
      <c r="C314" s="98" t="s">
        <v>364</v>
      </c>
      <c r="D314" s="70" t="s">
        <v>20</v>
      </c>
      <c r="E314" s="103" t="s">
        <v>109</v>
      </c>
      <c r="F314" s="75">
        <v>1775</v>
      </c>
      <c r="G314" s="73" t="s">
        <v>98</v>
      </c>
      <c r="H314" s="71" t="s">
        <v>118</v>
      </c>
      <c r="I314" s="73"/>
      <c r="J314" s="75">
        <f>I314*1775</f>
        <v>0</v>
      </c>
      <c r="K314" s="74"/>
      <c r="L314" s="11"/>
    </row>
    <row r="315" spans="2:12" s="9" customFormat="1" ht="13.5" customHeight="1" x14ac:dyDescent="0.2">
      <c r="B315" s="10"/>
      <c r="C315" s="98" t="s">
        <v>365</v>
      </c>
      <c r="D315" s="70" t="s">
        <v>20</v>
      </c>
      <c r="E315" s="103" t="s">
        <v>164</v>
      </c>
      <c r="F315" s="75">
        <v>1826</v>
      </c>
      <c r="G315" s="73" t="s">
        <v>98</v>
      </c>
      <c r="H315" s="71" t="s">
        <v>118</v>
      </c>
      <c r="I315" s="73"/>
      <c r="J315" s="75">
        <f>I315*1826</f>
        <v>0</v>
      </c>
      <c r="K315" s="74"/>
      <c r="L315" s="11"/>
    </row>
    <row r="316" spans="2:12" s="9" customFormat="1" ht="13.5" customHeight="1" x14ac:dyDescent="0.2">
      <c r="B316" s="10"/>
      <c r="C316" s="99" t="s">
        <v>366</v>
      </c>
      <c r="D316" s="76" t="s">
        <v>20</v>
      </c>
      <c r="E316" s="104" t="s">
        <v>164</v>
      </c>
      <c r="F316" s="81">
        <v>1845</v>
      </c>
      <c r="G316" s="79" t="s">
        <v>98</v>
      </c>
      <c r="H316" s="77" t="s">
        <v>102</v>
      </c>
      <c r="I316" s="79"/>
      <c r="J316" s="81">
        <f>I316*5535</f>
        <v>0</v>
      </c>
      <c r="K316" s="80"/>
      <c r="L316" s="11"/>
    </row>
    <row r="317" spans="2:12" s="9" customFormat="1" ht="13.5" customHeight="1" x14ac:dyDescent="0.2">
      <c r="B317" s="10"/>
      <c r="C317" s="99" t="s">
        <v>367</v>
      </c>
      <c r="D317" s="76" t="s">
        <v>20</v>
      </c>
      <c r="E317" s="104" t="s">
        <v>21</v>
      </c>
      <c r="F317" s="81">
        <v>1916</v>
      </c>
      <c r="G317" s="79" t="s">
        <v>98</v>
      </c>
      <c r="H317" s="77" t="s">
        <v>118</v>
      </c>
      <c r="I317" s="79"/>
      <c r="J317" s="81">
        <f>I317*1916</f>
        <v>0</v>
      </c>
      <c r="K317" s="80"/>
      <c r="L317" s="11"/>
    </row>
    <row r="318" spans="2:12" s="9" customFormat="1" ht="13.5" customHeight="1" x14ac:dyDescent="0.2">
      <c r="B318" s="10"/>
      <c r="C318" s="98" t="s">
        <v>368</v>
      </c>
      <c r="D318" s="70" t="s">
        <v>20</v>
      </c>
      <c r="E318" s="103" t="s">
        <v>109</v>
      </c>
      <c r="F318" s="75">
        <v>1950</v>
      </c>
      <c r="G318" s="73" t="s">
        <v>98</v>
      </c>
      <c r="H318" s="71" t="s">
        <v>118</v>
      </c>
      <c r="I318" s="73"/>
      <c r="J318" s="75">
        <f>I318*1950</f>
        <v>0</v>
      </c>
      <c r="K318" s="74"/>
      <c r="L318" s="11"/>
    </row>
    <row r="319" spans="2:12" s="9" customFormat="1" ht="13.5" customHeight="1" x14ac:dyDescent="0.2">
      <c r="B319" s="10"/>
      <c r="C319" s="98" t="s">
        <v>369</v>
      </c>
      <c r="D319" s="70" t="s">
        <v>20</v>
      </c>
      <c r="E319" s="103" t="s">
        <v>109</v>
      </c>
      <c r="F319" s="75">
        <v>2200</v>
      </c>
      <c r="G319" s="73" t="s">
        <v>98</v>
      </c>
      <c r="H319" s="71" t="s">
        <v>118</v>
      </c>
      <c r="I319" s="73"/>
      <c r="J319" s="75">
        <f>I319*2200</f>
        <v>0</v>
      </c>
      <c r="K319" s="74"/>
      <c r="L319" s="11"/>
    </row>
    <row r="320" spans="2:12" s="9" customFormat="1" ht="13.5" customHeight="1" x14ac:dyDescent="0.2">
      <c r="B320" s="10"/>
      <c r="C320" s="98" t="s">
        <v>370</v>
      </c>
      <c r="D320" s="70" t="s">
        <v>20</v>
      </c>
      <c r="E320" s="103" t="s">
        <v>109</v>
      </c>
      <c r="F320" s="75">
        <v>2250</v>
      </c>
      <c r="G320" s="73" t="s">
        <v>98</v>
      </c>
      <c r="H320" s="71" t="s">
        <v>118</v>
      </c>
      <c r="I320" s="73"/>
      <c r="J320" s="75">
        <f>I320*2250</f>
        <v>0</v>
      </c>
      <c r="K320" s="74"/>
      <c r="L320" s="11"/>
    </row>
    <row r="321" spans="2:12" s="9" customFormat="1" ht="13.5" customHeight="1" x14ac:dyDescent="0.2">
      <c r="B321" s="10"/>
      <c r="C321" s="98" t="s">
        <v>371</v>
      </c>
      <c r="D321" s="70" t="s">
        <v>20</v>
      </c>
      <c r="E321" s="103" t="s">
        <v>164</v>
      </c>
      <c r="F321" s="75">
        <v>2280</v>
      </c>
      <c r="G321" s="73" t="s">
        <v>98</v>
      </c>
      <c r="H321" s="71" t="s">
        <v>118</v>
      </c>
      <c r="I321" s="73"/>
      <c r="J321" s="75">
        <f>I321*2280</f>
        <v>0</v>
      </c>
      <c r="K321" s="74"/>
      <c r="L321" s="11"/>
    </row>
    <row r="322" spans="2:12" s="9" customFormat="1" ht="13.5" customHeight="1" x14ac:dyDescent="0.2">
      <c r="B322" s="10"/>
      <c r="C322" s="99" t="s">
        <v>372</v>
      </c>
      <c r="D322" s="76" t="s">
        <v>20</v>
      </c>
      <c r="E322" s="104" t="s">
        <v>164</v>
      </c>
      <c r="F322" s="81">
        <v>2350</v>
      </c>
      <c r="G322" s="79" t="s">
        <v>98</v>
      </c>
      <c r="H322" s="77" t="s">
        <v>118</v>
      </c>
      <c r="I322" s="79"/>
      <c r="J322" s="81">
        <f>I322*2350</f>
        <v>0</v>
      </c>
      <c r="K322" s="80"/>
      <c r="L322" s="11"/>
    </row>
    <row r="323" spans="2:12" s="9" customFormat="1" ht="13.5" customHeight="1" x14ac:dyDescent="0.2">
      <c r="B323" s="10"/>
      <c r="C323" s="98" t="s">
        <v>373</v>
      </c>
      <c r="D323" s="70" t="s">
        <v>20</v>
      </c>
      <c r="E323" s="103" t="s">
        <v>109</v>
      </c>
      <c r="F323" s="75">
        <v>2850</v>
      </c>
      <c r="G323" s="73" t="s">
        <v>98</v>
      </c>
      <c r="H323" s="71" t="s">
        <v>118</v>
      </c>
      <c r="I323" s="73"/>
      <c r="J323" s="75">
        <f>I323*2850</f>
        <v>0</v>
      </c>
      <c r="K323" s="74"/>
      <c r="L323" s="11"/>
    </row>
    <row r="324" spans="2:12" s="9" customFormat="1" ht="13.5" customHeight="1" x14ac:dyDescent="0.2">
      <c r="B324" s="10"/>
      <c r="C324" s="98" t="s">
        <v>374</v>
      </c>
      <c r="D324" s="70" t="s">
        <v>20</v>
      </c>
      <c r="E324" s="103" t="s">
        <v>109</v>
      </c>
      <c r="F324" s="75">
        <v>2850</v>
      </c>
      <c r="G324" s="73" t="s">
        <v>98</v>
      </c>
      <c r="H324" s="71" t="s">
        <v>276</v>
      </c>
      <c r="I324" s="73"/>
      <c r="J324" s="75">
        <f>I324*5700</f>
        <v>0</v>
      </c>
      <c r="K324" s="74"/>
      <c r="L324" s="11"/>
    </row>
    <row r="325" spans="2:12" s="9" customFormat="1" ht="13.5" customHeight="1" x14ac:dyDescent="0.2">
      <c r="B325" s="10"/>
      <c r="C325" s="98" t="s">
        <v>375</v>
      </c>
      <c r="D325" s="70" t="s">
        <v>20</v>
      </c>
      <c r="E325" s="103" t="s">
        <v>109</v>
      </c>
      <c r="F325" s="75">
        <v>3675</v>
      </c>
      <c r="G325" s="73" t="s">
        <v>98</v>
      </c>
      <c r="H325" s="71" t="s">
        <v>118</v>
      </c>
      <c r="I325" s="73"/>
      <c r="J325" s="75">
        <f>I325*3675</f>
        <v>0</v>
      </c>
      <c r="K325" s="74"/>
      <c r="L325" s="11"/>
    </row>
    <row r="326" spans="2:12" s="9" customFormat="1" ht="13.5" customHeight="1" x14ac:dyDescent="0.2">
      <c r="B326" s="10"/>
      <c r="C326" s="98" t="s">
        <v>376</v>
      </c>
      <c r="D326" s="70" t="s">
        <v>20</v>
      </c>
      <c r="E326" s="103" t="s">
        <v>21</v>
      </c>
      <c r="F326" s="75">
        <v>3762</v>
      </c>
      <c r="G326" s="73" t="s">
        <v>98</v>
      </c>
      <c r="H326" s="71" t="s">
        <v>118</v>
      </c>
      <c r="I326" s="73"/>
      <c r="J326" s="75">
        <f>I326*3762</f>
        <v>0</v>
      </c>
      <c r="K326" s="74"/>
      <c r="L326" s="11"/>
    </row>
    <row r="327" spans="2:12" s="1" customFormat="1" ht="44.1" customHeight="1" x14ac:dyDescent="0.2">
      <c r="B327" s="8"/>
      <c r="C327" s="63" t="s">
        <v>377</v>
      </c>
      <c r="D327" s="62"/>
      <c r="E327" s="63"/>
      <c r="F327" s="108"/>
      <c r="G327" s="108"/>
      <c r="H327" s="63"/>
      <c r="I327" s="63"/>
      <c r="J327" s="63"/>
      <c r="K327" s="63"/>
      <c r="L327" s="8"/>
    </row>
    <row r="328" spans="2:12" s="9" customFormat="1" ht="30" customHeight="1" x14ac:dyDescent="0.3">
      <c r="B328" s="10"/>
      <c r="C328" s="88" t="s">
        <v>378</v>
      </c>
      <c r="D328" s="89"/>
      <c r="E328" s="106"/>
      <c r="F328" s="89"/>
      <c r="G328" s="90"/>
      <c r="H328" s="89"/>
      <c r="I328" s="89"/>
      <c r="J328" s="89"/>
      <c r="K328" s="91"/>
      <c r="L328" s="10"/>
    </row>
    <row r="329" spans="2:12" s="9" customFormat="1" ht="13.5" customHeight="1" x14ac:dyDescent="0.2">
      <c r="B329" s="10"/>
      <c r="C329" s="98" t="s">
        <v>379</v>
      </c>
      <c r="D329" s="70" t="s">
        <v>380</v>
      </c>
      <c r="E329" s="103" t="s">
        <v>21</v>
      </c>
      <c r="F329" s="72">
        <v>93</v>
      </c>
      <c r="G329" s="73" t="s">
        <v>98</v>
      </c>
      <c r="H329" s="71" t="s">
        <v>194</v>
      </c>
      <c r="I329" s="73"/>
      <c r="J329" s="75">
        <f>I329*1116</f>
        <v>0</v>
      </c>
      <c r="K329" s="74"/>
      <c r="L329" s="11"/>
    </row>
    <row r="330" spans="2:12" s="9" customFormat="1" ht="13.5" customHeight="1" x14ac:dyDescent="0.2">
      <c r="B330" s="10"/>
      <c r="C330" s="98" t="s">
        <v>381</v>
      </c>
      <c r="D330" s="70" t="s">
        <v>382</v>
      </c>
      <c r="E330" s="103" t="s">
        <v>109</v>
      </c>
      <c r="F330" s="75">
        <v>2590</v>
      </c>
      <c r="G330" s="73" t="s">
        <v>98</v>
      </c>
      <c r="H330" s="71" t="s">
        <v>118</v>
      </c>
      <c r="I330" s="73"/>
      <c r="J330" s="75">
        <f>I330*2590</f>
        <v>0</v>
      </c>
      <c r="K330" s="74"/>
      <c r="L330" s="11"/>
    </row>
    <row r="331" spans="2:12" s="9" customFormat="1" ht="13.5" customHeight="1" x14ac:dyDescent="0.2">
      <c r="B331" s="10"/>
      <c r="C331" s="98" t="s">
        <v>383</v>
      </c>
      <c r="D331" s="70" t="s">
        <v>384</v>
      </c>
      <c r="E331" s="103" t="s">
        <v>109</v>
      </c>
      <c r="F331" s="75">
        <v>1630</v>
      </c>
      <c r="G331" s="73" t="s">
        <v>98</v>
      </c>
      <c r="H331" s="71" t="s">
        <v>118</v>
      </c>
      <c r="I331" s="73"/>
      <c r="J331" s="75">
        <f>I331*1630</f>
        <v>0</v>
      </c>
      <c r="K331" s="74"/>
      <c r="L331" s="11"/>
    </row>
    <row r="332" spans="2:12" s="9" customFormat="1" ht="13.5" customHeight="1" x14ac:dyDescent="0.2">
      <c r="B332" s="10"/>
      <c r="C332" s="98" t="s">
        <v>385</v>
      </c>
      <c r="D332" s="70" t="s">
        <v>386</v>
      </c>
      <c r="E332" s="103" t="s">
        <v>164</v>
      </c>
      <c r="F332" s="75">
        <v>1455</v>
      </c>
      <c r="G332" s="73" t="s">
        <v>98</v>
      </c>
      <c r="H332" s="71" t="s">
        <v>118</v>
      </c>
      <c r="I332" s="73"/>
      <c r="J332" s="75">
        <f>I332*1455</f>
        <v>0</v>
      </c>
      <c r="K332" s="74"/>
      <c r="L332" s="11"/>
    </row>
    <row r="333" spans="2:12" s="9" customFormat="1" ht="13.5" customHeight="1" x14ac:dyDescent="0.2">
      <c r="B333" s="10"/>
      <c r="C333" s="98" t="s">
        <v>387</v>
      </c>
      <c r="D333" s="70" t="s">
        <v>388</v>
      </c>
      <c r="E333" s="103" t="s">
        <v>25</v>
      </c>
      <c r="F333" s="75">
        <v>2400</v>
      </c>
      <c r="G333" s="73" t="s">
        <v>98</v>
      </c>
      <c r="H333" s="71" t="s">
        <v>118</v>
      </c>
      <c r="I333" s="73"/>
      <c r="J333" s="75">
        <f>I333*2400</f>
        <v>0</v>
      </c>
      <c r="K333" s="74"/>
      <c r="L333" s="11"/>
    </row>
    <row r="334" spans="2:12" s="9" customFormat="1" ht="13.5" customHeight="1" x14ac:dyDescent="0.2">
      <c r="B334" s="10"/>
      <c r="C334" s="97" t="s">
        <v>389</v>
      </c>
      <c r="D334" s="64" t="s">
        <v>390</v>
      </c>
      <c r="E334" s="102" t="s">
        <v>109</v>
      </c>
      <c r="F334" s="69">
        <v>1645</v>
      </c>
      <c r="G334" s="67" t="s">
        <v>98</v>
      </c>
      <c r="H334" s="65" t="s">
        <v>118</v>
      </c>
      <c r="I334" s="67"/>
      <c r="J334" s="69">
        <f>I334*1645</f>
        <v>0</v>
      </c>
      <c r="K334" s="68"/>
      <c r="L334" s="11"/>
    </row>
    <row r="335" spans="2:12" s="9" customFormat="1" ht="13.5" customHeight="1" x14ac:dyDescent="0.2">
      <c r="B335" s="10"/>
      <c r="C335" s="100" t="s">
        <v>391</v>
      </c>
      <c r="D335" s="82" t="s">
        <v>390</v>
      </c>
      <c r="E335" s="105" t="s">
        <v>158</v>
      </c>
      <c r="F335" s="87">
        <v>2450</v>
      </c>
      <c r="G335" s="85" t="s">
        <v>98</v>
      </c>
      <c r="H335" s="83" t="s">
        <v>118</v>
      </c>
      <c r="I335" s="85"/>
      <c r="J335" s="87">
        <f>I335*2450</f>
        <v>0</v>
      </c>
      <c r="K335" s="86"/>
      <c r="L335" s="11"/>
    </row>
    <row r="336" spans="2:12" s="9" customFormat="1" ht="13.5" customHeight="1" x14ac:dyDescent="0.2">
      <c r="B336" s="10"/>
      <c r="C336" s="98" t="s">
        <v>392</v>
      </c>
      <c r="D336" s="70" t="s">
        <v>393</v>
      </c>
      <c r="E336" s="103" t="s">
        <v>21</v>
      </c>
      <c r="F336" s="75">
        <v>3199</v>
      </c>
      <c r="G336" s="73" t="s">
        <v>98</v>
      </c>
      <c r="H336" s="71" t="s">
        <v>118</v>
      </c>
      <c r="I336" s="73"/>
      <c r="J336" s="75">
        <f>I336*3199</f>
        <v>0</v>
      </c>
      <c r="K336" s="74"/>
      <c r="L336" s="11"/>
    </row>
    <row r="337" spans="2:12" s="9" customFormat="1" ht="30" customHeight="1" x14ac:dyDescent="0.3">
      <c r="B337" s="10"/>
      <c r="C337" s="88" t="s">
        <v>394</v>
      </c>
      <c r="D337" s="89"/>
      <c r="E337" s="106"/>
      <c r="F337" s="89"/>
      <c r="G337" s="90"/>
      <c r="H337" s="89"/>
      <c r="I337" s="89"/>
      <c r="J337" s="89"/>
      <c r="K337" s="91"/>
      <c r="L337" s="10"/>
    </row>
    <row r="338" spans="2:12" s="9" customFormat="1" ht="13.5" customHeight="1" x14ac:dyDescent="0.2">
      <c r="B338" s="10"/>
      <c r="C338" s="98" t="s">
        <v>395</v>
      </c>
      <c r="D338" s="70" t="s">
        <v>396</v>
      </c>
      <c r="E338" s="103" t="s">
        <v>109</v>
      </c>
      <c r="F338" s="72">
        <v>84.55</v>
      </c>
      <c r="G338" s="73" t="s">
        <v>98</v>
      </c>
      <c r="H338" s="71" t="s">
        <v>194</v>
      </c>
      <c r="I338" s="73"/>
      <c r="J338" s="75">
        <f>I338*1014.6</f>
        <v>0</v>
      </c>
      <c r="K338" s="74"/>
      <c r="L338" s="11"/>
    </row>
    <row r="339" spans="2:12" s="9" customFormat="1" ht="13.5" customHeight="1" x14ac:dyDescent="0.2">
      <c r="B339" s="10"/>
      <c r="C339" s="98" t="s">
        <v>397</v>
      </c>
      <c r="D339" s="70" t="s">
        <v>398</v>
      </c>
      <c r="E339" s="103" t="s">
        <v>21</v>
      </c>
      <c r="F339" s="75">
        <v>1940</v>
      </c>
      <c r="G339" s="73" t="s">
        <v>98</v>
      </c>
      <c r="H339" s="71" t="s">
        <v>118</v>
      </c>
      <c r="I339" s="73"/>
      <c r="J339" s="75">
        <f>I339*1940</f>
        <v>0</v>
      </c>
      <c r="K339" s="74"/>
      <c r="L339" s="11"/>
    </row>
    <row r="340" spans="2:12" s="9" customFormat="1" ht="30" customHeight="1" x14ac:dyDescent="0.3">
      <c r="B340" s="10"/>
      <c r="C340" s="88" t="s">
        <v>399</v>
      </c>
      <c r="D340" s="89"/>
      <c r="E340" s="106"/>
      <c r="F340" s="89"/>
      <c r="G340" s="90"/>
      <c r="H340" s="89"/>
      <c r="I340" s="89"/>
      <c r="J340" s="89"/>
      <c r="K340" s="91"/>
      <c r="L340" s="10"/>
    </row>
    <row r="341" spans="2:12" s="9" customFormat="1" ht="13.5" customHeight="1" x14ac:dyDescent="0.2">
      <c r="B341" s="10"/>
      <c r="C341" s="98" t="s">
        <v>400</v>
      </c>
      <c r="D341" s="70" t="s">
        <v>401</v>
      </c>
      <c r="E341" s="103" t="s">
        <v>164</v>
      </c>
      <c r="F341" s="72">
        <v>144</v>
      </c>
      <c r="G341" s="73" t="s">
        <v>98</v>
      </c>
      <c r="H341" s="71" t="s">
        <v>129</v>
      </c>
      <c r="I341" s="73"/>
      <c r="J341" s="75">
        <f>I341*576</f>
        <v>0</v>
      </c>
      <c r="K341" s="74"/>
      <c r="L341" s="11"/>
    </row>
    <row r="342" spans="2:12" s="9" customFormat="1" ht="13.5" customHeight="1" x14ac:dyDescent="0.2">
      <c r="B342" s="10"/>
      <c r="C342" s="98" t="s">
        <v>402</v>
      </c>
      <c r="D342" s="70" t="s">
        <v>401</v>
      </c>
      <c r="E342" s="103" t="s">
        <v>25</v>
      </c>
      <c r="F342" s="72">
        <v>207</v>
      </c>
      <c r="G342" s="73" t="s">
        <v>98</v>
      </c>
      <c r="H342" s="71" t="s">
        <v>129</v>
      </c>
      <c r="I342" s="73"/>
      <c r="J342" s="75">
        <f>I342*828</f>
        <v>0</v>
      </c>
      <c r="K342" s="74"/>
      <c r="L342" s="11"/>
    </row>
    <row r="343" spans="2:12" s="9" customFormat="1" ht="30" customHeight="1" x14ac:dyDescent="0.3">
      <c r="B343" s="10"/>
      <c r="C343" s="88" t="s">
        <v>403</v>
      </c>
      <c r="D343" s="89"/>
      <c r="E343" s="106"/>
      <c r="F343" s="89"/>
      <c r="G343" s="90"/>
      <c r="H343" s="89"/>
      <c r="I343" s="89"/>
      <c r="J343" s="89"/>
      <c r="K343" s="91"/>
      <c r="L343" s="10"/>
    </row>
    <row r="344" spans="2:12" s="9" customFormat="1" ht="13.5" customHeight="1" x14ac:dyDescent="0.2">
      <c r="B344" s="10"/>
      <c r="C344" s="98" t="s">
        <v>404</v>
      </c>
      <c r="D344" s="70" t="s">
        <v>405</v>
      </c>
      <c r="E344" s="103" t="s">
        <v>109</v>
      </c>
      <c r="F344" s="72">
        <v>179</v>
      </c>
      <c r="G344" s="73" t="s">
        <v>98</v>
      </c>
      <c r="H344" s="71" t="s">
        <v>129</v>
      </c>
      <c r="I344" s="73"/>
      <c r="J344" s="75">
        <f>I344*716</f>
        <v>0</v>
      </c>
      <c r="K344" s="74"/>
      <c r="L344" s="11"/>
    </row>
    <row r="345" spans="2:12" s="9" customFormat="1" ht="13.5" customHeight="1" x14ac:dyDescent="0.2">
      <c r="B345" s="10"/>
      <c r="C345" s="98" t="s">
        <v>406</v>
      </c>
      <c r="D345" s="70" t="s">
        <v>407</v>
      </c>
      <c r="E345" s="103" t="s">
        <v>164</v>
      </c>
      <c r="F345" s="72">
        <v>168</v>
      </c>
      <c r="G345" s="73" t="s">
        <v>98</v>
      </c>
      <c r="H345" s="71" t="s">
        <v>129</v>
      </c>
      <c r="I345" s="73"/>
      <c r="J345" s="75">
        <f>I345*672</f>
        <v>0</v>
      </c>
      <c r="K345" s="74"/>
      <c r="L345" s="11"/>
    </row>
    <row r="346" spans="2:12" s="9" customFormat="1" ht="13.5" customHeight="1" x14ac:dyDescent="0.2">
      <c r="B346" s="10"/>
      <c r="C346" s="98" t="s">
        <v>408</v>
      </c>
      <c r="D346" s="70" t="s">
        <v>407</v>
      </c>
      <c r="E346" s="103" t="s">
        <v>25</v>
      </c>
      <c r="F346" s="72">
        <v>170</v>
      </c>
      <c r="G346" s="73" t="s">
        <v>98</v>
      </c>
      <c r="H346" s="71" t="s">
        <v>129</v>
      </c>
      <c r="I346" s="73"/>
      <c r="J346" s="75">
        <f>I346*680</f>
        <v>0</v>
      </c>
      <c r="K346" s="74"/>
      <c r="L346" s="11"/>
    </row>
    <row r="347" spans="2:12" s="9" customFormat="1" ht="13.5" customHeight="1" x14ac:dyDescent="0.2">
      <c r="B347" s="10"/>
      <c r="C347" s="98" t="s">
        <v>409</v>
      </c>
      <c r="D347" s="70" t="s">
        <v>407</v>
      </c>
      <c r="E347" s="103" t="s">
        <v>109</v>
      </c>
      <c r="F347" s="72">
        <v>188</v>
      </c>
      <c r="G347" s="73" t="s">
        <v>98</v>
      </c>
      <c r="H347" s="71" t="s">
        <v>129</v>
      </c>
      <c r="I347" s="73"/>
      <c r="J347" s="75">
        <f>I347*752</f>
        <v>0</v>
      </c>
      <c r="K347" s="74"/>
      <c r="L347" s="11"/>
    </row>
    <row r="348" spans="2:12" s="9" customFormat="1" ht="13.5" customHeight="1" x14ac:dyDescent="0.2">
      <c r="B348" s="10"/>
      <c r="C348" s="98" t="s">
        <v>410</v>
      </c>
      <c r="D348" s="70" t="s">
        <v>407</v>
      </c>
      <c r="E348" s="103" t="s">
        <v>109</v>
      </c>
      <c r="F348" s="72">
        <v>198</v>
      </c>
      <c r="G348" s="73" t="s">
        <v>98</v>
      </c>
      <c r="H348" s="71" t="s">
        <v>129</v>
      </c>
      <c r="I348" s="73"/>
      <c r="J348" s="75">
        <f>I348*792</f>
        <v>0</v>
      </c>
      <c r="K348" s="74"/>
      <c r="L348" s="11"/>
    </row>
    <row r="349" spans="2:12" s="9" customFormat="1" ht="13.5" customHeight="1" x14ac:dyDescent="0.2">
      <c r="B349" s="10"/>
      <c r="C349" s="98" t="s">
        <v>411</v>
      </c>
      <c r="D349" s="70" t="s">
        <v>407</v>
      </c>
      <c r="E349" s="103" t="s">
        <v>299</v>
      </c>
      <c r="F349" s="72">
        <v>239</v>
      </c>
      <c r="G349" s="73" t="s">
        <v>98</v>
      </c>
      <c r="H349" s="71" t="s">
        <v>129</v>
      </c>
      <c r="I349" s="73"/>
      <c r="J349" s="75">
        <f>I349*956</f>
        <v>0</v>
      </c>
      <c r="K349" s="74"/>
      <c r="L349" s="11"/>
    </row>
    <row r="350" spans="2:12" s="9" customFormat="1" ht="13.5" customHeight="1" x14ac:dyDescent="0.2">
      <c r="B350" s="10"/>
      <c r="C350" s="98" t="s">
        <v>412</v>
      </c>
      <c r="D350" s="70" t="s">
        <v>407</v>
      </c>
      <c r="E350" s="103" t="s">
        <v>413</v>
      </c>
      <c r="F350" s="72">
        <v>277</v>
      </c>
      <c r="G350" s="73" t="s">
        <v>98</v>
      </c>
      <c r="H350" s="71" t="s">
        <v>129</v>
      </c>
      <c r="I350" s="73"/>
      <c r="J350" s="75">
        <f>I350*1108</f>
        <v>0</v>
      </c>
      <c r="K350" s="74"/>
      <c r="L350" s="11"/>
    </row>
    <row r="351" spans="2:12" s="9" customFormat="1" ht="13.5" customHeight="1" x14ac:dyDescent="0.2">
      <c r="B351" s="10"/>
      <c r="C351" s="98" t="s">
        <v>414</v>
      </c>
      <c r="D351" s="70" t="s">
        <v>415</v>
      </c>
      <c r="E351" s="103" t="s">
        <v>164</v>
      </c>
      <c r="F351" s="72">
        <v>126</v>
      </c>
      <c r="G351" s="73" t="s">
        <v>98</v>
      </c>
      <c r="H351" s="71" t="s">
        <v>129</v>
      </c>
      <c r="I351" s="73"/>
      <c r="J351" s="75">
        <f>I351*504</f>
        <v>0</v>
      </c>
      <c r="K351" s="74"/>
      <c r="L351" s="11"/>
    </row>
    <row r="352" spans="2:12" s="9" customFormat="1" ht="13.5" customHeight="1" x14ac:dyDescent="0.2">
      <c r="B352" s="10"/>
      <c r="C352" s="98" t="s">
        <v>416</v>
      </c>
      <c r="D352" s="70" t="s">
        <v>417</v>
      </c>
      <c r="E352" s="103" t="s">
        <v>25</v>
      </c>
      <c r="F352" s="72">
        <v>186</v>
      </c>
      <c r="G352" s="73" t="s">
        <v>98</v>
      </c>
      <c r="H352" s="71" t="s">
        <v>276</v>
      </c>
      <c r="I352" s="73"/>
      <c r="J352" s="75">
        <f>I352*372</f>
        <v>0</v>
      </c>
      <c r="K352" s="74"/>
      <c r="L352" s="11"/>
    </row>
    <row r="353" spans="2:12" s="9" customFormat="1" ht="13.5" customHeight="1" x14ac:dyDescent="0.2">
      <c r="B353" s="10"/>
      <c r="C353" s="97" t="s">
        <v>418</v>
      </c>
      <c r="D353" s="64" t="s">
        <v>419</v>
      </c>
      <c r="E353" s="102" t="s">
        <v>109</v>
      </c>
      <c r="F353" s="69">
        <v>1745</v>
      </c>
      <c r="G353" s="67" t="s">
        <v>98</v>
      </c>
      <c r="H353" s="65" t="s">
        <v>118</v>
      </c>
      <c r="I353" s="67"/>
      <c r="J353" s="69">
        <f>I353*1745</f>
        <v>0</v>
      </c>
      <c r="K353" s="68"/>
      <c r="L353" s="11"/>
    </row>
    <row r="354" spans="2:12" s="9" customFormat="1" ht="30" customHeight="1" x14ac:dyDescent="0.3">
      <c r="B354" s="10"/>
      <c r="C354" s="88" t="s">
        <v>420</v>
      </c>
      <c r="D354" s="89"/>
      <c r="E354" s="106"/>
      <c r="F354" s="89"/>
      <c r="G354" s="90"/>
      <c r="H354" s="89"/>
      <c r="I354" s="89"/>
      <c r="J354" s="89"/>
      <c r="K354" s="91"/>
      <c r="L354" s="10"/>
    </row>
    <row r="355" spans="2:12" s="9" customFormat="1" ht="13.5" customHeight="1" x14ac:dyDescent="0.2">
      <c r="B355" s="10"/>
      <c r="C355" s="98" t="s">
        <v>421</v>
      </c>
      <c r="D355" s="70" t="s">
        <v>422</v>
      </c>
      <c r="E355" s="103" t="s">
        <v>158</v>
      </c>
      <c r="F355" s="72">
        <v>290</v>
      </c>
      <c r="G355" s="73" t="s">
        <v>98</v>
      </c>
      <c r="H355" s="71" t="s">
        <v>129</v>
      </c>
      <c r="I355" s="73"/>
      <c r="J355" s="75">
        <f>I355*1160</f>
        <v>0</v>
      </c>
      <c r="K355" s="74"/>
      <c r="L355" s="11"/>
    </row>
    <row r="356" spans="2:12" s="9" customFormat="1" ht="13.5" customHeight="1" x14ac:dyDescent="0.2">
      <c r="B356" s="10"/>
      <c r="C356" s="98" t="s">
        <v>423</v>
      </c>
      <c r="D356" s="70" t="s">
        <v>424</v>
      </c>
      <c r="E356" s="103" t="s">
        <v>158</v>
      </c>
      <c r="F356" s="72">
        <v>315</v>
      </c>
      <c r="G356" s="73" t="s">
        <v>98</v>
      </c>
      <c r="H356" s="71" t="s">
        <v>129</v>
      </c>
      <c r="I356" s="73"/>
      <c r="J356" s="75">
        <f>I356*1260</f>
        <v>0</v>
      </c>
      <c r="K356" s="74"/>
      <c r="L356" s="11"/>
    </row>
    <row r="357" spans="2:12" s="9" customFormat="1" ht="30" customHeight="1" x14ac:dyDescent="0.3">
      <c r="B357" s="10"/>
      <c r="C357" s="88" t="s">
        <v>425</v>
      </c>
      <c r="D357" s="89"/>
      <c r="E357" s="106"/>
      <c r="F357" s="89"/>
      <c r="G357" s="90"/>
      <c r="H357" s="89"/>
      <c r="I357" s="89"/>
      <c r="J357" s="89"/>
      <c r="K357" s="91"/>
      <c r="L357" s="10"/>
    </row>
    <row r="358" spans="2:12" s="9" customFormat="1" ht="13.5" customHeight="1" x14ac:dyDescent="0.2">
      <c r="B358" s="10"/>
      <c r="C358" s="100" t="s">
        <v>426</v>
      </c>
      <c r="D358" s="82" t="s">
        <v>427</v>
      </c>
      <c r="E358" s="105" t="s">
        <v>299</v>
      </c>
      <c r="F358" s="84">
        <v>217.5</v>
      </c>
      <c r="G358" s="85" t="s">
        <v>98</v>
      </c>
      <c r="H358" s="83" t="s">
        <v>129</v>
      </c>
      <c r="I358" s="85"/>
      <c r="J358" s="87">
        <f>I358*870</f>
        <v>0</v>
      </c>
      <c r="K358" s="86"/>
      <c r="L358" s="11"/>
    </row>
    <row r="359" spans="2:12" s="9" customFormat="1" ht="13.5" customHeight="1" x14ac:dyDescent="0.2">
      <c r="B359" s="10"/>
      <c r="C359" s="100" t="s">
        <v>428</v>
      </c>
      <c r="D359" s="82" t="s">
        <v>427</v>
      </c>
      <c r="E359" s="105" t="s">
        <v>25</v>
      </c>
      <c r="F359" s="84">
        <v>237</v>
      </c>
      <c r="G359" s="85" t="s">
        <v>98</v>
      </c>
      <c r="H359" s="83" t="s">
        <v>276</v>
      </c>
      <c r="I359" s="85"/>
      <c r="J359" s="87">
        <f>I359*474</f>
        <v>0</v>
      </c>
      <c r="K359" s="86"/>
      <c r="L359" s="11"/>
    </row>
    <row r="360" spans="2:12" s="9" customFormat="1" ht="13.5" customHeight="1" x14ac:dyDescent="0.2">
      <c r="B360" s="10"/>
      <c r="C360" s="100" t="s">
        <v>429</v>
      </c>
      <c r="D360" s="82" t="s">
        <v>427</v>
      </c>
      <c r="E360" s="105" t="s">
        <v>299</v>
      </c>
      <c r="F360" s="84">
        <v>250.5</v>
      </c>
      <c r="G360" s="85" t="s">
        <v>98</v>
      </c>
      <c r="H360" s="83" t="s">
        <v>129</v>
      </c>
      <c r="I360" s="85"/>
      <c r="J360" s="87">
        <f>I360*1002</f>
        <v>0</v>
      </c>
      <c r="K360" s="86"/>
      <c r="L360" s="11"/>
    </row>
    <row r="361" spans="2:12" s="9" customFormat="1" ht="13.5" customHeight="1" x14ac:dyDescent="0.2">
      <c r="B361" s="10"/>
      <c r="C361" s="100" t="s">
        <v>430</v>
      </c>
      <c r="D361" s="82" t="s">
        <v>427</v>
      </c>
      <c r="E361" s="105" t="s">
        <v>299</v>
      </c>
      <c r="F361" s="84">
        <v>250.5</v>
      </c>
      <c r="G361" s="85" t="s">
        <v>98</v>
      </c>
      <c r="H361" s="83" t="s">
        <v>129</v>
      </c>
      <c r="I361" s="85"/>
      <c r="J361" s="87">
        <f>I361*1002</f>
        <v>0</v>
      </c>
      <c r="K361" s="86"/>
      <c r="L361" s="11"/>
    </row>
    <row r="362" spans="2:12" s="9" customFormat="1" ht="13.5" customHeight="1" x14ac:dyDescent="0.2">
      <c r="B362" s="10"/>
      <c r="C362" s="100" t="s">
        <v>431</v>
      </c>
      <c r="D362" s="82" t="s">
        <v>427</v>
      </c>
      <c r="E362" s="105" t="s">
        <v>413</v>
      </c>
      <c r="F362" s="84">
        <v>261</v>
      </c>
      <c r="G362" s="85" t="s">
        <v>98</v>
      </c>
      <c r="H362" s="83" t="s">
        <v>129</v>
      </c>
      <c r="I362" s="85"/>
      <c r="J362" s="87">
        <f>I362*1044</f>
        <v>0</v>
      </c>
      <c r="K362" s="86"/>
      <c r="L362" s="11"/>
    </row>
    <row r="363" spans="2:12" s="9" customFormat="1" ht="13.5" customHeight="1" x14ac:dyDescent="0.2">
      <c r="B363" s="10"/>
      <c r="C363" s="100" t="s">
        <v>432</v>
      </c>
      <c r="D363" s="82" t="s">
        <v>427</v>
      </c>
      <c r="E363" s="105" t="s">
        <v>413</v>
      </c>
      <c r="F363" s="84">
        <v>261</v>
      </c>
      <c r="G363" s="85" t="s">
        <v>98</v>
      </c>
      <c r="H363" s="83" t="s">
        <v>129</v>
      </c>
      <c r="I363" s="85"/>
      <c r="J363" s="87">
        <f>I363*1044</f>
        <v>0</v>
      </c>
      <c r="K363" s="86"/>
      <c r="L363" s="11"/>
    </row>
    <row r="364" spans="2:12" s="9" customFormat="1" ht="13.5" customHeight="1" x14ac:dyDescent="0.2">
      <c r="B364" s="10"/>
      <c r="C364" s="98" t="s">
        <v>433</v>
      </c>
      <c r="D364" s="70" t="s">
        <v>427</v>
      </c>
      <c r="E364" s="103" t="s">
        <v>21</v>
      </c>
      <c r="F364" s="72">
        <v>316</v>
      </c>
      <c r="G364" s="73" t="s">
        <v>98</v>
      </c>
      <c r="H364" s="71" t="s">
        <v>129</v>
      </c>
      <c r="I364" s="73"/>
      <c r="J364" s="75">
        <f>I364*1264</f>
        <v>0</v>
      </c>
      <c r="K364" s="74"/>
      <c r="L364" s="11"/>
    </row>
    <row r="365" spans="2:12" s="9" customFormat="1" ht="13.5" customHeight="1" x14ac:dyDescent="0.2">
      <c r="B365" s="10"/>
      <c r="C365" s="98" t="s">
        <v>434</v>
      </c>
      <c r="D365" s="70" t="s">
        <v>427</v>
      </c>
      <c r="E365" s="103" t="s">
        <v>164</v>
      </c>
      <c r="F365" s="72">
        <v>325</v>
      </c>
      <c r="G365" s="73" t="s">
        <v>98</v>
      </c>
      <c r="H365" s="71" t="s">
        <v>129</v>
      </c>
      <c r="I365" s="73"/>
      <c r="J365" s="75">
        <f>I365*1300</f>
        <v>0</v>
      </c>
      <c r="K365" s="74"/>
      <c r="L365" s="11"/>
    </row>
    <row r="366" spans="2:12" s="9" customFormat="1" ht="13.5" customHeight="1" x14ac:dyDescent="0.2">
      <c r="B366" s="10"/>
      <c r="C366" s="98" t="s">
        <v>435</v>
      </c>
      <c r="D366" s="70" t="s">
        <v>427</v>
      </c>
      <c r="E366" s="103" t="s">
        <v>164</v>
      </c>
      <c r="F366" s="72">
        <v>344</v>
      </c>
      <c r="G366" s="73" t="s">
        <v>98</v>
      </c>
      <c r="H366" s="71" t="s">
        <v>129</v>
      </c>
      <c r="I366" s="73"/>
      <c r="J366" s="75">
        <f>I366*1376</f>
        <v>0</v>
      </c>
      <c r="K366" s="74"/>
      <c r="L366" s="11"/>
    </row>
    <row r="367" spans="2:12" s="9" customFormat="1" ht="13.5" customHeight="1" x14ac:dyDescent="0.2">
      <c r="B367" s="10"/>
      <c r="C367" s="98" t="s">
        <v>436</v>
      </c>
      <c r="D367" s="70" t="s">
        <v>427</v>
      </c>
      <c r="E367" s="103" t="s">
        <v>164</v>
      </c>
      <c r="F367" s="72">
        <v>365</v>
      </c>
      <c r="G367" s="73" t="s">
        <v>98</v>
      </c>
      <c r="H367" s="71" t="s">
        <v>129</v>
      </c>
      <c r="I367" s="73"/>
      <c r="J367" s="75">
        <f>I367*1460</f>
        <v>0</v>
      </c>
      <c r="K367" s="74"/>
      <c r="L367" s="11"/>
    </row>
    <row r="368" spans="2:12" s="9" customFormat="1" ht="13.5" customHeight="1" x14ac:dyDescent="0.2">
      <c r="B368" s="10"/>
      <c r="C368" s="98" t="s">
        <v>437</v>
      </c>
      <c r="D368" s="70" t="s">
        <v>427</v>
      </c>
      <c r="E368" s="103" t="s">
        <v>164</v>
      </c>
      <c r="F368" s="72">
        <v>373</v>
      </c>
      <c r="G368" s="73" t="s">
        <v>98</v>
      </c>
      <c r="H368" s="71" t="s">
        <v>129</v>
      </c>
      <c r="I368" s="73"/>
      <c r="J368" s="75">
        <f>I368*1492</f>
        <v>0</v>
      </c>
      <c r="K368" s="74"/>
      <c r="L368" s="11"/>
    </row>
    <row r="369" spans="2:12" s="9" customFormat="1" ht="13.5" customHeight="1" x14ac:dyDescent="0.2">
      <c r="B369" s="10"/>
      <c r="C369" s="98" t="s">
        <v>438</v>
      </c>
      <c r="D369" s="70" t="s">
        <v>427</v>
      </c>
      <c r="E369" s="103" t="s">
        <v>21</v>
      </c>
      <c r="F369" s="72">
        <v>381</v>
      </c>
      <c r="G369" s="73" t="s">
        <v>98</v>
      </c>
      <c r="H369" s="71" t="s">
        <v>129</v>
      </c>
      <c r="I369" s="73"/>
      <c r="J369" s="75">
        <f>I369*1524</f>
        <v>0</v>
      </c>
      <c r="K369" s="74"/>
      <c r="L369" s="11"/>
    </row>
    <row r="370" spans="2:12" s="9" customFormat="1" ht="13.5" customHeight="1" x14ac:dyDescent="0.2">
      <c r="B370" s="10"/>
      <c r="C370" s="98" t="s">
        <v>439</v>
      </c>
      <c r="D370" s="70" t="s">
        <v>427</v>
      </c>
      <c r="E370" s="103" t="s">
        <v>21</v>
      </c>
      <c r="F370" s="72">
        <v>381</v>
      </c>
      <c r="G370" s="73" t="s">
        <v>98</v>
      </c>
      <c r="H370" s="71" t="s">
        <v>129</v>
      </c>
      <c r="I370" s="73"/>
      <c r="J370" s="75">
        <f>I370*1524</f>
        <v>0</v>
      </c>
      <c r="K370" s="74"/>
      <c r="L370" s="11"/>
    </row>
    <row r="371" spans="2:12" s="9" customFormat="1" ht="13.5" customHeight="1" x14ac:dyDescent="0.2">
      <c r="B371" s="10"/>
      <c r="C371" s="98" t="s">
        <v>440</v>
      </c>
      <c r="D371" s="70" t="s">
        <v>427</v>
      </c>
      <c r="E371" s="103" t="s">
        <v>21</v>
      </c>
      <c r="F371" s="72">
        <v>381</v>
      </c>
      <c r="G371" s="73" t="s">
        <v>98</v>
      </c>
      <c r="H371" s="71" t="s">
        <v>129</v>
      </c>
      <c r="I371" s="73"/>
      <c r="J371" s="75">
        <f>I371*1524</f>
        <v>0</v>
      </c>
      <c r="K371" s="74"/>
      <c r="L371" s="11"/>
    </row>
    <row r="372" spans="2:12" s="9" customFormat="1" ht="13.5" customHeight="1" x14ac:dyDescent="0.2">
      <c r="B372" s="10"/>
      <c r="C372" s="98" t="s">
        <v>441</v>
      </c>
      <c r="D372" s="70" t="s">
        <v>427</v>
      </c>
      <c r="E372" s="103" t="s">
        <v>164</v>
      </c>
      <c r="F372" s="72">
        <v>390</v>
      </c>
      <c r="G372" s="73" t="s">
        <v>98</v>
      </c>
      <c r="H372" s="71" t="s">
        <v>129</v>
      </c>
      <c r="I372" s="73"/>
      <c r="J372" s="75">
        <f>I372*1560</f>
        <v>0</v>
      </c>
      <c r="K372" s="74"/>
      <c r="L372" s="11"/>
    </row>
    <row r="373" spans="2:12" s="9" customFormat="1" ht="13.5" customHeight="1" x14ac:dyDescent="0.2">
      <c r="B373" s="10"/>
      <c r="C373" s="100" t="s">
        <v>442</v>
      </c>
      <c r="D373" s="82" t="s">
        <v>443</v>
      </c>
      <c r="E373" s="105" t="s">
        <v>158</v>
      </c>
      <c r="F373" s="84">
        <v>312.5</v>
      </c>
      <c r="G373" s="85" t="s">
        <v>98</v>
      </c>
      <c r="H373" s="83" t="s">
        <v>129</v>
      </c>
      <c r="I373" s="85"/>
      <c r="J373" s="87">
        <f>I373*1250</f>
        <v>0</v>
      </c>
      <c r="K373" s="86"/>
      <c r="L373" s="11"/>
    </row>
    <row r="374" spans="2:12" s="9" customFormat="1" ht="13.5" customHeight="1" x14ac:dyDescent="0.2">
      <c r="B374" s="10"/>
      <c r="C374" s="100" t="s">
        <v>444</v>
      </c>
      <c r="D374" s="82" t="s">
        <v>443</v>
      </c>
      <c r="E374" s="105" t="s">
        <v>158</v>
      </c>
      <c r="F374" s="84">
        <v>340</v>
      </c>
      <c r="G374" s="85" t="s">
        <v>98</v>
      </c>
      <c r="H374" s="83" t="s">
        <v>129</v>
      </c>
      <c r="I374" s="85"/>
      <c r="J374" s="87">
        <f>I374*1360</f>
        <v>0</v>
      </c>
      <c r="K374" s="86"/>
      <c r="L374" s="11"/>
    </row>
    <row r="375" spans="2:12" s="9" customFormat="1" ht="13.5" customHeight="1" x14ac:dyDescent="0.2">
      <c r="B375" s="10"/>
      <c r="C375" s="100" t="s">
        <v>445</v>
      </c>
      <c r="D375" s="82" t="s">
        <v>446</v>
      </c>
      <c r="E375" s="105" t="s">
        <v>299</v>
      </c>
      <c r="F375" s="84">
        <v>325.5</v>
      </c>
      <c r="G375" s="85" t="s">
        <v>98</v>
      </c>
      <c r="H375" s="83" t="s">
        <v>129</v>
      </c>
      <c r="I375" s="85"/>
      <c r="J375" s="87">
        <f>I375*1302</f>
        <v>0</v>
      </c>
      <c r="K375" s="86"/>
      <c r="L375" s="11"/>
    </row>
    <row r="376" spans="2:12" s="9" customFormat="1" ht="13.5" customHeight="1" x14ac:dyDescent="0.2">
      <c r="B376" s="10"/>
      <c r="C376" s="100" t="s">
        <v>447</v>
      </c>
      <c r="D376" s="82" t="s">
        <v>446</v>
      </c>
      <c r="E376" s="105" t="s">
        <v>299</v>
      </c>
      <c r="F376" s="84">
        <v>325.5</v>
      </c>
      <c r="G376" s="85" t="s">
        <v>98</v>
      </c>
      <c r="H376" s="83" t="s">
        <v>129</v>
      </c>
      <c r="I376" s="85"/>
      <c r="J376" s="87">
        <f>I376*1302</f>
        <v>0</v>
      </c>
      <c r="K376" s="86"/>
      <c r="L376" s="11"/>
    </row>
    <row r="377" spans="2:12" s="9" customFormat="1" ht="13.5" customHeight="1" x14ac:dyDescent="0.2">
      <c r="B377" s="10"/>
      <c r="C377" s="100" t="s">
        <v>448</v>
      </c>
      <c r="D377" s="82" t="s">
        <v>446</v>
      </c>
      <c r="E377" s="105" t="s">
        <v>299</v>
      </c>
      <c r="F377" s="84">
        <v>325.5</v>
      </c>
      <c r="G377" s="85" t="s">
        <v>98</v>
      </c>
      <c r="H377" s="83" t="s">
        <v>129</v>
      </c>
      <c r="I377" s="85"/>
      <c r="J377" s="87">
        <f>I377*1302</f>
        <v>0</v>
      </c>
      <c r="K377" s="86"/>
      <c r="L377" s="11"/>
    </row>
    <row r="378" spans="2:12" s="9" customFormat="1" ht="13.5" customHeight="1" x14ac:dyDescent="0.2">
      <c r="B378" s="10"/>
      <c r="C378" s="100" t="s">
        <v>449</v>
      </c>
      <c r="D378" s="82" t="s">
        <v>446</v>
      </c>
      <c r="E378" s="105" t="s">
        <v>299</v>
      </c>
      <c r="F378" s="84">
        <v>325.5</v>
      </c>
      <c r="G378" s="85" t="s">
        <v>98</v>
      </c>
      <c r="H378" s="83" t="s">
        <v>129</v>
      </c>
      <c r="I378" s="85"/>
      <c r="J378" s="87">
        <f>I378*1302</f>
        <v>0</v>
      </c>
      <c r="K378" s="86"/>
      <c r="L378" s="11"/>
    </row>
    <row r="379" spans="2:12" s="9" customFormat="1" ht="13.5" customHeight="1" x14ac:dyDescent="0.2">
      <c r="B379" s="10"/>
      <c r="C379" s="100" t="s">
        <v>450</v>
      </c>
      <c r="D379" s="82" t="s">
        <v>446</v>
      </c>
      <c r="E379" s="105" t="s">
        <v>25</v>
      </c>
      <c r="F379" s="84">
        <v>327</v>
      </c>
      <c r="G379" s="85" t="s">
        <v>98</v>
      </c>
      <c r="H379" s="83" t="s">
        <v>276</v>
      </c>
      <c r="I379" s="85"/>
      <c r="J379" s="87">
        <f>I379*654</f>
        <v>0</v>
      </c>
      <c r="K379" s="86"/>
      <c r="L379" s="11"/>
    </row>
    <row r="380" spans="2:12" s="9" customFormat="1" ht="13.5" customHeight="1" x14ac:dyDescent="0.2">
      <c r="B380" s="10"/>
      <c r="C380" s="100" t="s">
        <v>451</v>
      </c>
      <c r="D380" s="82" t="s">
        <v>446</v>
      </c>
      <c r="E380" s="105" t="s">
        <v>413</v>
      </c>
      <c r="F380" s="84">
        <v>339.3</v>
      </c>
      <c r="G380" s="85" t="s">
        <v>98</v>
      </c>
      <c r="H380" s="83" t="s">
        <v>129</v>
      </c>
      <c r="I380" s="85"/>
      <c r="J380" s="87">
        <f>I380*1357.2</f>
        <v>0</v>
      </c>
      <c r="K380" s="86"/>
      <c r="L380" s="11"/>
    </row>
    <row r="381" spans="2:12" s="9" customFormat="1" ht="13.5" customHeight="1" x14ac:dyDescent="0.2">
      <c r="B381" s="10"/>
      <c r="C381" s="100" t="s">
        <v>452</v>
      </c>
      <c r="D381" s="82" t="s">
        <v>446</v>
      </c>
      <c r="E381" s="105" t="s">
        <v>413</v>
      </c>
      <c r="F381" s="84">
        <v>339.3</v>
      </c>
      <c r="G381" s="85" t="s">
        <v>98</v>
      </c>
      <c r="H381" s="83" t="s">
        <v>129</v>
      </c>
      <c r="I381" s="85"/>
      <c r="J381" s="87">
        <f>I381*1357.2</f>
        <v>0</v>
      </c>
      <c r="K381" s="86"/>
      <c r="L381" s="11"/>
    </row>
    <row r="382" spans="2:12" s="9" customFormat="1" ht="13.5" customHeight="1" x14ac:dyDescent="0.2">
      <c r="B382" s="10"/>
      <c r="C382" s="100" t="s">
        <v>453</v>
      </c>
      <c r="D382" s="82" t="s">
        <v>446</v>
      </c>
      <c r="E382" s="105" t="s">
        <v>413</v>
      </c>
      <c r="F382" s="84">
        <v>339.3</v>
      </c>
      <c r="G382" s="85" t="s">
        <v>98</v>
      </c>
      <c r="H382" s="83" t="s">
        <v>129</v>
      </c>
      <c r="I382" s="85"/>
      <c r="J382" s="87">
        <f>I382*1357.2</f>
        <v>0</v>
      </c>
      <c r="K382" s="86"/>
      <c r="L382" s="11"/>
    </row>
    <row r="383" spans="2:12" s="9" customFormat="1" ht="13.5" customHeight="1" x14ac:dyDescent="0.2">
      <c r="B383" s="10"/>
      <c r="C383" s="98" t="s">
        <v>454</v>
      </c>
      <c r="D383" s="70" t="s">
        <v>446</v>
      </c>
      <c r="E383" s="103" t="s">
        <v>25</v>
      </c>
      <c r="F383" s="72">
        <v>383</v>
      </c>
      <c r="G383" s="73" t="s">
        <v>98</v>
      </c>
      <c r="H383" s="71" t="s">
        <v>129</v>
      </c>
      <c r="I383" s="73"/>
      <c r="J383" s="75">
        <f>I383*1532</f>
        <v>0</v>
      </c>
      <c r="K383" s="74"/>
      <c r="L383" s="11"/>
    </row>
    <row r="384" spans="2:12" s="9" customFormat="1" ht="13.5" customHeight="1" x14ac:dyDescent="0.2">
      <c r="B384" s="10"/>
      <c r="C384" s="98" t="s">
        <v>455</v>
      </c>
      <c r="D384" s="70" t="s">
        <v>446</v>
      </c>
      <c r="E384" s="103" t="s">
        <v>158</v>
      </c>
      <c r="F384" s="72">
        <v>437.5</v>
      </c>
      <c r="G384" s="73" t="s">
        <v>98</v>
      </c>
      <c r="H384" s="71" t="s">
        <v>129</v>
      </c>
      <c r="I384" s="73"/>
      <c r="J384" s="75">
        <f>I384*1750</f>
        <v>0</v>
      </c>
      <c r="K384" s="74"/>
      <c r="L384" s="11"/>
    </row>
    <row r="385" spans="2:12" s="9" customFormat="1" ht="13.5" customHeight="1" x14ac:dyDescent="0.2">
      <c r="B385" s="10"/>
      <c r="C385" s="98" t="s">
        <v>456</v>
      </c>
      <c r="D385" s="70" t="s">
        <v>446</v>
      </c>
      <c r="E385" s="103" t="s">
        <v>158</v>
      </c>
      <c r="F385" s="72">
        <v>437.5</v>
      </c>
      <c r="G385" s="73" t="s">
        <v>98</v>
      </c>
      <c r="H385" s="71" t="s">
        <v>129</v>
      </c>
      <c r="I385" s="73"/>
      <c r="J385" s="75">
        <f>I385*1750</f>
        <v>0</v>
      </c>
      <c r="K385" s="74"/>
      <c r="L385" s="11"/>
    </row>
    <row r="386" spans="2:12" s="9" customFormat="1" ht="13.5" customHeight="1" x14ac:dyDescent="0.2">
      <c r="B386" s="10"/>
      <c r="C386" s="98" t="s">
        <v>457</v>
      </c>
      <c r="D386" s="70" t="s">
        <v>446</v>
      </c>
      <c r="E386" s="103" t="s">
        <v>158</v>
      </c>
      <c r="F386" s="72">
        <v>441</v>
      </c>
      <c r="G386" s="73" t="s">
        <v>98</v>
      </c>
      <c r="H386" s="71" t="s">
        <v>129</v>
      </c>
      <c r="I386" s="73"/>
      <c r="J386" s="75">
        <f>I386*1764</f>
        <v>0</v>
      </c>
      <c r="K386" s="74"/>
      <c r="L386" s="11"/>
    </row>
    <row r="387" spans="2:12" s="9" customFormat="1" ht="13.5" customHeight="1" x14ac:dyDescent="0.2">
      <c r="B387" s="10"/>
      <c r="C387" s="98" t="s">
        <v>458</v>
      </c>
      <c r="D387" s="70" t="s">
        <v>446</v>
      </c>
      <c r="E387" s="103" t="s">
        <v>158</v>
      </c>
      <c r="F387" s="72">
        <v>441</v>
      </c>
      <c r="G387" s="73" t="s">
        <v>98</v>
      </c>
      <c r="H387" s="71" t="s">
        <v>129</v>
      </c>
      <c r="I387" s="73"/>
      <c r="J387" s="75">
        <f>I387*1764</f>
        <v>0</v>
      </c>
      <c r="K387" s="74"/>
      <c r="L387" s="11"/>
    </row>
    <row r="388" spans="2:12" s="9" customFormat="1" ht="13.5" customHeight="1" x14ac:dyDescent="0.2">
      <c r="B388" s="10"/>
      <c r="C388" s="98" t="s">
        <v>459</v>
      </c>
      <c r="D388" s="70" t="s">
        <v>446</v>
      </c>
      <c r="E388" s="103" t="s">
        <v>164</v>
      </c>
      <c r="F388" s="72">
        <v>450</v>
      </c>
      <c r="G388" s="73" t="s">
        <v>98</v>
      </c>
      <c r="H388" s="71" t="s">
        <v>276</v>
      </c>
      <c r="I388" s="73"/>
      <c r="J388" s="75">
        <f>I388*900</f>
        <v>0</v>
      </c>
      <c r="K388" s="74"/>
      <c r="L388" s="11"/>
    </row>
    <row r="389" spans="2:12" s="9" customFormat="1" ht="13.5" customHeight="1" x14ac:dyDescent="0.2">
      <c r="B389" s="10"/>
      <c r="C389" s="98" t="s">
        <v>460</v>
      </c>
      <c r="D389" s="70" t="s">
        <v>446</v>
      </c>
      <c r="E389" s="103" t="s">
        <v>158</v>
      </c>
      <c r="F389" s="72">
        <v>472</v>
      </c>
      <c r="G389" s="73" t="s">
        <v>98</v>
      </c>
      <c r="H389" s="71" t="s">
        <v>129</v>
      </c>
      <c r="I389" s="73"/>
      <c r="J389" s="75">
        <f>I389*1888</f>
        <v>0</v>
      </c>
      <c r="K389" s="74"/>
      <c r="L389" s="11"/>
    </row>
    <row r="390" spans="2:12" s="9" customFormat="1" ht="13.5" customHeight="1" x14ac:dyDescent="0.2">
      <c r="B390" s="10"/>
      <c r="C390" s="98" t="s">
        <v>461</v>
      </c>
      <c r="D390" s="70" t="s">
        <v>446</v>
      </c>
      <c r="E390" s="103" t="s">
        <v>158</v>
      </c>
      <c r="F390" s="72">
        <v>472</v>
      </c>
      <c r="G390" s="73" t="s">
        <v>98</v>
      </c>
      <c r="H390" s="71" t="s">
        <v>129</v>
      </c>
      <c r="I390" s="73"/>
      <c r="J390" s="75">
        <f>I390*1888</f>
        <v>0</v>
      </c>
      <c r="K390" s="74"/>
      <c r="L390" s="11"/>
    </row>
    <row r="391" spans="2:12" s="9" customFormat="1" ht="13.5" customHeight="1" x14ac:dyDescent="0.2">
      <c r="B391" s="10"/>
      <c r="C391" s="98" t="s">
        <v>462</v>
      </c>
      <c r="D391" s="70" t="s">
        <v>446</v>
      </c>
      <c r="E391" s="103" t="s">
        <v>164</v>
      </c>
      <c r="F391" s="72">
        <v>483</v>
      </c>
      <c r="G391" s="73" t="s">
        <v>98</v>
      </c>
      <c r="H391" s="71" t="s">
        <v>276</v>
      </c>
      <c r="I391" s="73"/>
      <c r="J391" s="75">
        <f>I391*966</f>
        <v>0</v>
      </c>
      <c r="K391" s="74"/>
      <c r="L391" s="11"/>
    </row>
    <row r="392" spans="2:12" s="9" customFormat="1" ht="13.5" customHeight="1" x14ac:dyDescent="0.2">
      <c r="B392" s="10"/>
      <c r="C392" s="98" t="s">
        <v>463</v>
      </c>
      <c r="D392" s="70" t="s">
        <v>446</v>
      </c>
      <c r="E392" s="103" t="s">
        <v>21</v>
      </c>
      <c r="F392" s="72">
        <v>490</v>
      </c>
      <c r="G392" s="73" t="s">
        <v>98</v>
      </c>
      <c r="H392" s="71" t="s">
        <v>129</v>
      </c>
      <c r="I392" s="73"/>
      <c r="J392" s="75">
        <f>I392*1960</f>
        <v>0</v>
      </c>
      <c r="K392" s="74"/>
      <c r="L392" s="11"/>
    </row>
    <row r="393" spans="2:12" s="9" customFormat="1" ht="13.5" customHeight="1" x14ac:dyDescent="0.2">
      <c r="B393" s="10"/>
      <c r="C393" s="98" t="s">
        <v>464</v>
      </c>
      <c r="D393" s="70" t="s">
        <v>446</v>
      </c>
      <c r="E393" s="103" t="s">
        <v>21</v>
      </c>
      <c r="F393" s="72">
        <v>490</v>
      </c>
      <c r="G393" s="73" t="s">
        <v>98</v>
      </c>
      <c r="H393" s="71" t="s">
        <v>129</v>
      </c>
      <c r="I393" s="73"/>
      <c r="J393" s="75">
        <f>I393*1960</f>
        <v>0</v>
      </c>
      <c r="K393" s="74"/>
      <c r="L393" s="11"/>
    </row>
    <row r="394" spans="2:12" s="9" customFormat="1" ht="13.5" customHeight="1" x14ac:dyDescent="0.2">
      <c r="B394" s="10"/>
      <c r="C394" s="98" t="s">
        <v>465</v>
      </c>
      <c r="D394" s="70" t="s">
        <v>446</v>
      </c>
      <c r="E394" s="103" t="s">
        <v>21</v>
      </c>
      <c r="F394" s="72">
        <v>490</v>
      </c>
      <c r="G394" s="73" t="s">
        <v>98</v>
      </c>
      <c r="H394" s="71" t="s">
        <v>129</v>
      </c>
      <c r="I394" s="73"/>
      <c r="J394" s="75">
        <f>I394*1960</f>
        <v>0</v>
      </c>
      <c r="K394" s="74"/>
      <c r="L394" s="11"/>
    </row>
    <row r="395" spans="2:12" s="9" customFormat="1" ht="13.5" customHeight="1" x14ac:dyDescent="0.2">
      <c r="B395" s="10"/>
      <c r="C395" s="99" t="s">
        <v>466</v>
      </c>
      <c r="D395" s="76" t="s">
        <v>446</v>
      </c>
      <c r="E395" s="104" t="s">
        <v>164</v>
      </c>
      <c r="F395" s="78">
        <v>519</v>
      </c>
      <c r="G395" s="79" t="s">
        <v>98</v>
      </c>
      <c r="H395" s="77" t="s">
        <v>276</v>
      </c>
      <c r="I395" s="79"/>
      <c r="J395" s="81">
        <f>I395*1038</f>
        <v>0</v>
      </c>
      <c r="K395" s="80"/>
      <c r="L395" s="11"/>
    </row>
    <row r="396" spans="2:12" s="9" customFormat="1" ht="13.5" customHeight="1" x14ac:dyDescent="0.2">
      <c r="B396" s="10"/>
      <c r="C396" s="99" t="s">
        <v>467</v>
      </c>
      <c r="D396" s="76" t="s">
        <v>446</v>
      </c>
      <c r="E396" s="104" t="s">
        <v>164</v>
      </c>
      <c r="F396" s="78">
        <v>531</v>
      </c>
      <c r="G396" s="79" t="s">
        <v>98</v>
      </c>
      <c r="H396" s="77" t="s">
        <v>276</v>
      </c>
      <c r="I396" s="79"/>
      <c r="J396" s="81">
        <f>I396*1062</f>
        <v>0</v>
      </c>
      <c r="K396" s="80"/>
      <c r="L396" s="11"/>
    </row>
    <row r="397" spans="2:12" s="9" customFormat="1" ht="13.5" customHeight="1" x14ac:dyDescent="0.2">
      <c r="B397" s="10"/>
      <c r="C397" s="98" t="s">
        <v>468</v>
      </c>
      <c r="D397" s="70" t="s">
        <v>446</v>
      </c>
      <c r="E397" s="103" t="s">
        <v>164</v>
      </c>
      <c r="F397" s="72">
        <v>555</v>
      </c>
      <c r="G397" s="73" t="s">
        <v>98</v>
      </c>
      <c r="H397" s="71" t="s">
        <v>276</v>
      </c>
      <c r="I397" s="73"/>
      <c r="J397" s="75">
        <f>I397*1110</f>
        <v>0</v>
      </c>
      <c r="K397" s="74"/>
      <c r="L397" s="11"/>
    </row>
    <row r="398" spans="2:12" s="9" customFormat="1" ht="13.5" customHeight="1" x14ac:dyDescent="0.2">
      <c r="B398" s="10"/>
      <c r="C398" s="98" t="s">
        <v>469</v>
      </c>
      <c r="D398" s="70" t="s">
        <v>446</v>
      </c>
      <c r="E398" s="103" t="s">
        <v>164</v>
      </c>
      <c r="F398" s="72">
        <v>614</v>
      </c>
      <c r="G398" s="73" t="s">
        <v>98</v>
      </c>
      <c r="H398" s="71" t="s">
        <v>276</v>
      </c>
      <c r="I398" s="73"/>
      <c r="J398" s="75">
        <f>I398*1228</f>
        <v>0</v>
      </c>
      <c r="K398" s="74"/>
      <c r="L398" s="11"/>
    </row>
    <row r="399" spans="2:12" s="9" customFormat="1" ht="13.5" customHeight="1" x14ac:dyDescent="0.2">
      <c r="B399" s="10"/>
      <c r="C399" s="98" t="s">
        <v>470</v>
      </c>
      <c r="D399" s="70" t="s">
        <v>446</v>
      </c>
      <c r="E399" s="103" t="s">
        <v>164</v>
      </c>
      <c r="F399" s="72">
        <v>640</v>
      </c>
      <c r="G399" s="73" t="s">
        <v>98</v>
      </c>
      <c r="H399" s="71" t="s">
        <v>276</v>
      </c>
      <c r="I399" s="73"/>
      <c r="J399" s="75">
        <f>I399*1280</f>
        <v>0</v>
      </c>
      <c r="K399" s="74"/>
      <c r="L399" s="11"/>
    </row>
    <row r="400" spans="2:12" s="9" customFormat="1" ht="13.5" customHeight="1" x14ac:dyDescent="0.2">
      <c r="B400" s="10"/>
      <c r="C400" s="98" t="s">
        <v>471</v>
      </c>
      <c r="D400" s="70" t="s">
        <v>446</v>
      </c>
      <c r="E400" s="103" t="s">
        <v>164</v>
      </c>
      <c r="F400" s="72">
        <v>640</v>
      </c>
      <c r="G400" s="73" t="s">
        <v>98</v>
      </c>
      <c r="H400" s="71" t="s">
        <v>276</v>
      </c>
      <c r="I400" s="73"/>
      <c r="J400" s="75">
        <f>I400*1280</f>
        <v>0</v>
      </c>
      <c r="K400" s="74"/>
      <c r="L400" s="11"/>
    </row>
    <row r="401" spans="2:12" s="9" customFormat="1" ht="13.5" customHeight="1" x14ac:dyDescent="0.2">
      <c r="B401" s="10"/>
      <c r="C401" s="100" t="s">
        <v>472</v>
      </c>
      <c r="D401" s="82" t="s">
        <v>473</v>
      </c>
      <c r="E401" s="105" t="s">
        <v>25</v>
      </c>
      <c r="F401" s="84">
        <v>438</v>
      </c>
      <c r="G401" s="85" t="s">
        <v>98</v>
      </c>
      <c r="H401" s="83" t="s">
        <v>276</v>
      </c>
      <c r="I401" s="85"/>
      <c r="J401" s="87">
        <f>I401*876</f>
        <v>0</v>
      </c>
      <c r="K401" s="86"/>
      <c r="L401" s="11"/>
    </row>
    <row r="402" spans="2:12" s="9" customFormat="1" ht="13.5" customHeight="1" x14ac:dyDescent="0.2">
      <c r="B402" s="10"/>
      <c r="C402" s="98" t="s">
        <v>474</v>
      </c>
      <c r="D402" s="70" t="s">
        <v>473</v>
      </c>
      <c r="E402" s="103" t="s">
        <v>109</v>
      </c>
      <c r="F402" s="72">
        <v>680</v>
      </c>
      <c r="G402" s="73" t="s">
        <v>98</v>
      </c>
      <c r="H402" s="71" t="s">
        <v>129</v>
      </c>
      <c r="I402" s="73"/>
      <c r="J402" s="75">
        <f>I402*2720</f>
        <v>0</v>
      </c>
      <c r="K402" s="74"/>
      <c r="L402" s="11"/>
    </row>
    <row r="403" spans="2:12" s="9" customFormat="1" ht="13.5" customHeight="1" x14ac:dyDescent="0.2">
      <c r="B403" s="10"/>
      <c r="C403" s="98" t="s">
        <v>475</v>
      </c>
      <c r="D403" s="70" t="s">
        <v>476</v>
      </c>
      <c r="E403" s="103" t="s">
        <v>109</v>
      </c>
      <c r="F403" s="72">
        <v>870</v>
      </c>
      <c r="G403" s="73" t="s">
        <v>98</v>
      </c>
      <c r="H403" s="71" t="s">
        <v>276</v>
      </c>
      <c r="I403" s="73"/>
      <c r="J403" s="75">
        <f>I403*1740</f>
        <v>0</v>
      </c>
      <c r="K403" s="74"/>
      <c r="L403" s="11"/>
    </row>
    <row r="404" spans="2:12" s="9" customFormat="1" ht="13.5" customHeight="1" x14ac:dyDescent="0.2">
      <c r="B404" s="10"/>
      <c r="C404" s="98" t="s">
        <v>477</v>
      </c>
      <c r="D404" s="70" t="s">
        <v>478</v>
      </c>
      <c r="E404" s="103" t="s">
        <v>164</v>
      </c>
      <c r="F404" s="75">
        <v>1960</v>
      </c>
      <c r="G404" s="73" t="s">
        <v>98</v>
      </c>
      <c r="H404" s="71" t="s">
        <v>118</v>
      </c>
      <c r="I404" s="73"/>
      <c r="J404" s="75">
        <f>I404*1960</f>
        <v>0</v>
      </c>
      <c r="K404" s="74"/>
      <c r="L404" s="11"/>
    </row>
    <row r="405" spans="2:12" s="9" customFormat="1" ht="13.5" customHeight="1" x14ac:dyDescent="0.2">
      <c r="B405" s="10"/>
      <c r="C405" s="98" t="s">
        <v>479</v>
      </c>
      <c r="D405" s="70" t="s">
        <v>480</v>
      </c>
      <c r="E405" s="103" t="s">
        <v>164</v>
      </c>
      <c r="F405" s="75">
        <v>2240</v>
      </c>
      <c r="G405" s="73" t="s">
        <v>98</v>
      </c>
      <c r="H405" s="71" t="s">
        <v>118</v>
      </c>
      <c r="I405" s="73"/>
      <c r="J405" s="75">
        <f>I405*2240</f>
        <v>0</v>
      </c>
      <c r="K405" s="74"/>
      <c r="L405" s="11"/>
    </row>
    <row r="406" spans="2:12" s="9" customFormat="1" ht="13.5" customHeight="1" x14ac:dyDescent="0.2">
      <c r="B406" s="10"/>
      <c r="C406" s="98" t="s">
        <v>481</v>
      </c>
      <c r="D406" s="70" t="s">
        <v>482</v>
      </c>
      <c r="E406" s="103" t="s">
        <v>109</v>
      </c>
      <c r="F406" s="75">
        <v>2785</v>
      </c>
      <c r="G406" s="73" t="s">
        <v>98</v>
      </c>
      <c r="H406" s="71" t="s">
        <v>118</v>
      </c>
      <c r="I406" s="73"/>
      <c r="J406" s="75">
        <f>I406*2785</f>
        <v>0</v>
      </c>
      <c r="K406" s="74"/>
      <c r="L406" s="11"/>
    </row>
    <row r="407" spans="2:12" s="9" customFormat="1" ht="30" customHeight="1" x14ac:dyDescent="0.3">
      <c r="B407" s="10"/>
      <c r="C407" s="88" t="s">
        <v>483</v>
      </c>
      <c r="D407" s="89"/>
      <c r="E407" s="106"/>
      <c r="F407" s="89"/>
      <c r="G407" s="90"/>
      <c r="H407" s="89"/>
      <c r="I407" s="89"/>
      <c r="J407" s="89"/>
      <c r="K407" s="91"/>
      <c r="L407" s="10"/>
    </row>
    <row r="408" spans="2:12" s="9" customFormat="1" ht="13.5" customHeight="1" x14ac:dyDescent="0.2">
      <c r="B408" s="10"/>
      <c r="C408" s="98" t="s">
        <v>484</v>
      </c>
      <c r="D408" s="70" t="s">
        <v>485</v>
      </c>
      <c r="E408" s="103" t="s">
        <v>158</v>
      </c>
      <c r="F408" s="72">
        <v>460</v>
      </c>
      <c r="G408" s="73" t="s">
        <v>98</v>
      </c>
      <c r="H408" s="71" t="s">
        <v>276</v>
      </c>
      <c r="I408" s="73"/>
      <c r="J408" s="75">
        <f>I408*920</f>
        <v>0</v>
      </c>
      <c r="K408" s="74"/>
      <c r="L408" s="11"/>
    </row>
    <row r="409" spans="2:12" s="9" customFormat="1" ht="13.5" customHeight="1" x14ac:dyDescent="0.2">
      <c r="B409" s="10"/>
      <c r="C409" s="98" t="s">
        <v>486</v>
      </c>
      <c r="D409" s="70" t="s">
        <v>487</v>
      </c>
      <c r="E409" s="103" t="s">
        <v>158</v>
      </c>
      <c r="F409" s="72">
        <v>550</v>
      </c>
      <c r="G409" s="73" t="s">
        <v>98</v>
      </c>
      <c r="H409" s="71" t="s">
        <v>276</v>
      </c>
      <c r="I409" s="73"/>
      <c r="J409" s="75">
        <f>I409*1100</f>
        <v>0</v>
      </c>
      <c r="K409" s="74"/>
      <c r="L409" s="11"/>
    </row>
    <row r="410" spans="2:12" s="9" customFormat="1" ht="13.5" customHeight="1" x14ac:dyDescent="0.2">
      <c r="B410" s="10"/>
      <c r="C410" s="98" t="s">
        <v>488</v>
      </c>
      <c r="D410" s="70" t="s">
        <v>487</v>
      </c>
      <c r="E410" s="103" t="s">
        <v>158</v>
      </c>
      <c r="F410" s="72">
        <v>670</v>
      </c>
      <c r="G410" s="73" t="s">
        <v>98</v>
      </c>
      <c r="H410" s="71" t="s">
        <v>276</v>
      </c>
      <c r="I410" s="73"/>
      <c r="J410" s="75">
        <f>I410*1340</f>
        <v>0</v>
      </c>
      <c r="K410" s="74"/>
      <c r="L410" s="11"/>
    </row>
    <row r="411" spans="2:12" s="9" customFormat="1" ht="13.5" customHeight="1" x14ac:dyDescent="0.2">
      <c r="B411" s="10"/>
      <c r="C411" s="98" t="s">
        <v>489</v>
      </c>
      <c r="D411" s="70" t="s">
        <v>487</v>
      </c>
      <c r="E411" s="103" t="s">
        <v>158</v>
      </c>
      <c r="F411" s="72">
        <v>670</v>
      </c>
      <c r="G411" s="73" t="s">
        <v>98</v>
      </c>
      <c r="H411" s="71" t="s">
        <v>276</v>
      </c>
      <c r="I411" s="73"/>
      <c r="J411" s="75">
        <f>I411*1340</f>
        <v>0</v>
      </c>
      <c r="K411" s="74"/>
      <c r="L411" s="11"/>
    </row>
    <row r="412" spans="2:12" s="9" customFormat="1" ht="13.5" customHeight="1" x14ac:dyDescent="0.2">
      <c r="B412" s="10"/>
      <c r="C412" s="98" t="s">
        <v>490</v>
      </c>
      <c r="D412" s="70" t="s">
        <v>487</v>
      </c>
      <c r="E412" s="103" t="s">
        <v>158</v>
      </c>
      <c r="F412" s="72">
        <v>670</v>
      </c>
      <c r="G412" s="73" t="s">
        <v>98</v>
      </c>
      <c r="H412" s="71" t="s">
        <v>276</v>
      </c>
      <c r="I412" s="73"/>
      <c r="J412" s="75">
        <f>I412*1340</f>
        <v>0</v>
      </c>
      <c r="K412" s="74"/>
      <c r="L412" s="11"/>
    </row>
    <row r="413" spans="2:12" s="9" customFormat="1" ht="30" customHeight="1" x14ac:dyDescent="0.3">
      <c r="B413" s="10"/>
      <c r="C413" s="88" t="s">
        <v>491</v>
      </c>
      <c r="D413" s="89"/>
      <c r="E413" s="106"/>
      <c r="F413" s="89"/>
      <c r="G413" s="90"/>
      <c r="H413" s="89"/>
      <c r="I413" s="89"/>
      <c r="J413" s="89"/>
      <c r="K413" s="91"/>
      <c r="L413" s="10"/>
    </row>
    <row r="414" spans="2:12" s="9" customFormat="1" ht="13.5" customHeight="1" x14ac:dyDescent="0.2">
      <c r="B414" s="10"/>
      <c r="C414" s="100" t="s">
        <v>492</v>
      </c>
      <c r="D414" s="82" t="s">
        <v>493</v>
      </c>
      <c r="E414" s="105" t="s">
        <v>25</v>
      </c>
      <c r="F414" s="84">
        <v>499</v>
      </c>
      <c r="G414" s="85" t="s">
        <v>98</v>
      </c>
      <c r="H414" s="83" t="s">
        <v>118</v>
      </c>
      <c r="I414" s="85"/>
      <c r="J414" s="87">
        <f>I414*499</f>
        <v>0</v>
      </c>
      <c r="K414" s="86"/>
      <c r="L414" s="11"/>
    </row>
    <row r="415" spans="2:12" s="9" customFormat="1" ht="13.5" customHeight="1" x14ac:dyDescent="0.2">
      <c r="B415" s="10"/>
      <c r="C415" s="100" t="s">
        <v>494</v>
      </c>
      <c r="D415" s="82" t="s">
        <v>495</v>
      </c>
      <c r="E415" s="105" t="s">
        <v>158</v>
      </c>
      <c r="F415" s="84">
        <v>610</v>
      </c>
      <c r="G415" s="85" t="s">
        <v>98</v>
      </c>
      <c r="H415" s="83" t="s">
        <v>276</v>
      </c>
      <c r="I415" s="85"/>
      <c r="J415" s="87">
        <f>I415*1220</f>
        <v>0</v>
      </c>
      <c r="K415" s="86"/>
      <c r="L415" s="11"/>
    </row>
    <row r="416" spans="2:12" s="9" customFormat="1" ht="13.5" customHeight="1" x14ac:dyDescent="0.2">
      <c r="B416" s="10"/>
      <c r="C416" s="100" t="s">
        <v>496</v>
      </c>
      <c r="D416" s="82" t="s">
        <v>497</v>
      </c>
      <c r="E416" s="105" t="s">
        <v>299</v>
      </c>
      <c r="F416" s="84">
        <v>616.5</v>
      </c>
      <c r="G416" s="85" t="s">
        <v>98</v>
      </c>
      <c r="H416" s="83" t="s">
        <v>276</v>
      </c>
      <c r="I416" s="85"/>
      <c r="J416" s="87">
        <f>I416*1233</f>
        <v>0</v>
      </c>
      <c r="K416" s="86"/>
      <c r="L416" s="11"/>
    </row>
    <row r="417" spans="2:12" s="9" customFormat="1" ht="13.5" customHeight="1" x14ac:dyDescent="0.2">
      <c r="B417" s="10"/>
      <c r="C417" s="100" t="s">
        <v>498</v>
      </c>
      <c r="D417" s="82" t="s">
        <v>497</v>
      </c>
      <c r="E417" s="105" t="s">
        <v>413</v>
      </c>
      <c r="F417" s="84">
        <v>643.5</v>
      </c>
      <c r="G417" s="85" t="s">
        <v>98</v>
      </c>
      <c r="H417" s="83" t="s">
        <v>276</v>
      </c>
      <c r="I417" s="85"/>
      <c r="J417" s="87">
        <f>I417*1287</f>
        <v>0</v>
      </c>
      <c r="K417" s="86"/>
      <c r="L417" s="11"/>
    </row>
    <row r="418" spans="2:12" s="9" customFormat="1" ht="13.5" customHeight="1" x14ac:dyDescent="0.2">
      <c r="B418" s="10"/>
      <c r="C418" s="100" t="s">
        <v>499</v>
      </c>
      <c r="D418" s="82" t="s">
        <v>497</v>
      </c>
      <c r="E418" s="105" t="s">
        <v>25</v>
      </c>
      <c r="F418" s="84">
        <v>668</v>
      </c>
      <c r="G418" s="85" t="s">
        <v>98</v>
      </c>
      <c r="H418" s="83" t="s">
        <v>118</v>
      </c>
      <c r="I418" s="85"/>
      <c r="J418" s="87">
        <f>I418*668</f>
        <v>0</v>
      </c>
      <c r="K418" s="86"/>
      <c r="L418" s="11"/>
    </row>
    <row r="419" spans="2:12" s="9" customFormat="1" ht="13.5" customHeight="1" x14ac:dyDescent="0.2">
      <c r="B419" s="10"/>
      <c r="C419" s="100" t="s">
        <v>500</v>
      </c>
      <c r="D419" s="82" t="s">
        <v>497</v>
      </c>
      <c r="E419" s="105" t="s">
        <v>25</v>
      </c>
      <c r="F419" s="84">
        <v>710</v>
      </c>
      <c r="G419" s="85" t="s">
        <v>98</v>
      </c>
      <c r="H419" s="83" t="s">
        <v>118</v>
      </c>
      <c r="I419" s="85"/>
      <c r="J419" s="87">
        <f>I419*710</f>
        <v>0</v>
      </c>
      <c r="K419" s="86"/>
      <c r="L419" s="11"/>
    </row>
    <row r="420" spans="2:12" s="9" customFormat="1" ht="13.5" customHeight="1" x14ac:dyDescent="0.2">
      <c r="B420" s="10"/>
      <c r="C420" s="100" t="s">
        <v>501</v>
      </c>
      <c r="D420" s="82" t="s">
        <v>497</v>
      </c>
      <c r="E420" s="105" t="s">
        <v>25</v>
      </c>
      <c r="F420" s="84">
        <v>710</v>
      </c>
      <c r="G420" s="85" t="s">
        <v>98</v>
      </c>
      <c r="H420" s="83" t="s">
        <v>118</v>
      </c>
      <c r="I420" s="85"/>
      <c r="J420" s="87">
        <f>I420*710</f>
        <v>0</v>
      </c>
      <c r="K420" s="86"/>
      <c r="L420" s="11"/>
    </row>
    <row r="421" spans="2:12" s="9" customFormat="1" ht="13.5" customHeight="1" x14ac:dyDescent="0.2">
      <c r="B421" s="10"/>
      <c r="C421" s="98" t="s">
        <v>502</v>
      </c>
      <c r="D421" s="70" t="s">
        <v>497</v>
      </c>
      <c r="E421" s="103" t="s">
        <v>21</v>
      </c>
      <c r="F421" s="72">
        <v>735</v>
      </c>
      <c r="G421" s="73" t="s">
        <v>98</v>
      </c>
      <c r="H421" s="71" t="s">
        <v>276</v>
      </c>
      <c r="I421" s="73"/>
      <c r="J421" s="75">
        <f>I421*1470</f>
        <v>0</v>
      </c>
      <c r="K421" s="74"/>
      <c r="L421" s="11"/>
    </row>
    <row r="422" spans="2:12" s="9" customFormat="1" ht="13.5" customHeight="1" x14ac:dyDescent="0.2">
      <c r="B422" s="10"/>
      <c r="C422" s="98" t="s">
        <v>503</v>
      </c>
      <c r="D422" s="70" t="s">
        <v>497</v>
      </c>
      <c r="E422" s="103" t="s">
        <v>158</v>
      </c>
      <c r="F422" s="72">
        <v>745</v>
      </c>
      <c r="G422" s="73" t="s">
        <v>98</v>
      </c>
      <c r="H422" s="71" t="s">
        <v>276</v>
      </c>
      <c r="I422" s="73"/>
      <c r="J422" s="75">
        <f>I422*1490</f>
        <v>0</v>
      </c>
      <c r="K422" s="74"/>
      <c r="L422" s="11"/>
    </row>
    <row r="423" spans="2:12" s="9" customFormat="1" ht="13.5" customHeight="1" x14ac:dyDescent="0.2">
      <c r="B423" s="10"/>
      <c r="C423" s="98" t="s">
        <v>504</v>
      </c>
      <c r="D423" s="70" t="s">
        <v>497</v>
      </c>
      <c r="E423" s="103" t="s">
        <v>158</v>
      </c>
      <c r="F423" s="72">
        <v>745</v>
      </c>
      <c r="G423" s="73" t="s">
        <v>98</v>
      </c>
      <c r="H423" s="71" t="s">
        <v>276</v>
      </c>
      <c r="I423" s="73"/>
      <c r="J423" s="75">
        <f>I423*1490</f>
        <v>0</v>
      </c>
      <c r="K423" s="74"/>
      <c r="L423" s="11"/>
    </row>
    <row r="424" spans="2:12" s="9" customFormat="1" ht="13.5" customHeight="1" x14ac:dyDescent="0.2">
      <c r="B424" s="10"/>
      <c r="C424" s="98" t="s">
        <v>505</v>
      </c>
      <c r="D424" s="70" t="s">
        <v>497</v>
      </c>
      <c r="E424" s="103" t="s">
        <v>158</v>
      </c>
      <c r="F424" s="72">
        <v>770</v>
      </c>
      <c r="G424" s="73" t="s">
        <v>98</v>
      </c>
      <c r="H424" s="71" t="s">
        <v>276</v>
      </c>
      <c r="I424" s="73"/>
      <c r="J424" s="75">
        <f>I424*1540</f>
        <v>0</v>
      </c>
      <c r="K424" s="74"/>
      <c r="L424" s="11"/>
    </row>
    <row r="425" spans="2:12" s="9" customFormat="1" ht="13.5" customHeight="1" x14ac:dyDescent="0.2">
      <c r="B425" s="10"/>
      <c r="C425" s="98" t="s">
        <v>506</v>
      </c>
      <c r="D425" s="70" t="s">
        <v>497</v>
      </c>
      <c r="E425" s="103" t="s">
        <v>158</v>
      </c>
      <c r="F425" s="72">
        <v>770</v>
      </c>
      <c r="G425" s="73" t="s">
        <v>98</v>
      </c>
      <c r="H425" s="71" t="s">
        <v>276</v>
      </c>
      <c r="I425" s="73"/>
      <c r="J425" s="75">
        <f>I425*1540</f>
        <v>0</v>
      </c>
      <c r="K425" s="74"/>
      <c r="L425" s="11"/>
    </row>
    <row r="426" spans="2:12" s="9" customFormat="1" ht="13.5" customHeight="1" x14ac:dyDescent="0.2">
      <c r="B426" s="10"/>
      <c r="C426" s="98" t="s">
        <v>507</v>
      </c>
      <c r="D426" s="70" t="s">
        <v>497</v>
      </c>
      <c r="E426" s="103" t="s">
        <v>158</v>
      </c>
      <c r="F426" s="72">
        <v>770</v>
      </c>
      <c r="G426" s="73" t="s">
        <v>98</v>
      </c>
      <c r="H426" s="71" t="s">
        <v>276</v>
      </c>
      <c r="I426" s="73"/>
      <c r="J426" s="75">
        <f>I426*1540</f>
        <v>0</v>
      </c>
      <c r="K426" s="74"/>
      <c r="L426" s="11"/>
    </row>
    <row r="427" spans="2:12" s="9" customFormat="1" ht="13.5" customHeight="1" x14ac:dyDescent="0.2">
      <c r="B427" s="10"/>
      <c r="C427" s="98" t="s">
        <v>508</v>
      </c>
      <c r="D427" s="70" t="s">
        <v>497</v>
      </c>
      <c r="E427" s="103" t="s">
        <v>158</v>
      </c>
      <c r="F427" s="72">
        <v>799</v>
      </c>
      <c r="G427" s="73" t="s">
        <v>98</v>
      </c>
      <c r="H427" s="71" t="s">
        <v>276</v>
      </c>
      <c r="I427" s="73"/>
      <c r="J427" s="75">
        <f>I427*1598</f>
        <v>0</v>
      </c>
      <c r="K427" s="74"/>
      <c r="L427" s="11"/>
    </row>
    <row r="428" spans="2:12" s="9" customFormat="1" ht="13.5" customHeight="1" x14ac:dyDescent="0.2">
      <c r="B428" s="10"/>
      <c r="C428" s="98" t="s">
        <v>509</v>
      </c>
      <c r="D428" s="70" t="s">
        <v>497</v>
      </c>
      <c r="E428" s="103" t="s">
        <v>158</v>
      </c>
      <c r="F428" s="72">
        <v>799</v>
      </c>
      <c r="G428" s="73" t="s">
        <v>98</v>
      </c>
      <c r="H428" s="71" t="s">
        <v>276</v>
      </c>
      <c r="I428" s="73"/>
      <c r="J428" s="75">
        <f>I428*1598</f>
        <v>0</v>
      </c>
      <c r="K428" s="74"/>
      <c r="L428" s="11"/>
    </row>
    <row r="429" spans="2:12" s="9" customFormat="1" ht="13.5" customHeight="1" x14ac:dyDescent="0.2">
      <c r="B429" s="10"/>
      <c r="C429" s="98" t="s">
        <v>510</v>
      </c>
      <c r="D429" s="70" t="s">
        <v>497</v>
      </c>
      <c r="E429" s="103" t="s">
        <v>158</v>
      </c>
      <c r="F429" s="72">
        <v>799</v>
      </c>
      <c r="G429" s="73" t="s">
        <v>98</v>
      </c>
      <c r="H429" s="71" t="s">
        <v>276</v>
      </c>
      <c r="I429" s="73"/>
      <c r="J429" s="75">
        <f>I429*1598</f>
        <v>0</v>
      </c>
      <c r="K429" s="74"/>
      <c r="L429" s="11"/>
    </row>
    <row r="430" spans="2:12" s="9" customFormat="1" ht="13.5" customHeight="1" x14ac:dyDescent="0.2">
      <c r="B430" s="10"/>
      <c r="C430" s="98" t="s">
        <v>511</v>
      </c>
      <c r="D430" s="70" t="s">
        <v>497</v>
      </c>
      <c r="E430" s="103" t="s">
        <v>164</v>
      </c>
      <c r="F430" s="72">
        <v>850</v>
      </c>
      <c r="G430" s="73" t="s">
        <v>98</v>
      </c>
      <c r="H430" s="71" t="s">
        <v>276</v>
      </c>
      <c r="I430" s="73"/>
      <c r="J430" s="75">
        <f>I430*1700</f>
        <v>0</v>
      </c>
      <c r="K430" s="74"/>
      <c r="L430" s="11"/>
    </row>
    <row r="431" spans="2:12" s="9" customFormat="1" ht="13.5" customHeight="1" x14ac:dyDescent="0.2">
      <c r="B431" s="10"/>
      <c r="C431" s="98" t="s">
        <v>512</v>
      </c>
      <c r="D431" s="70" t="s">
        <v>497</v>
      </c>
      <c r="E431" s="103" t="s">
        <v>164</v>
      </c>
      <c r="F431" s="72">
        <v>858</v>
      </c>
      <c r="G431" s="73" t="s">
        <v>98</v>
      </c>
      <c r="H431" s="71" t="s">
        <v>276</v>
      </c>
      <c r="I431" s="73"/>
      <c r="J431" s="75">
        <f>I431*1716</f>
        <v>0</v>
      </c>
      <c r="K431" s="74"/>
      <c r="L431" s="11"/>
    </row>
    <row r="432" spans="2:12" s="9" customFormat="1" ht="13.5" customHeight="1" x14ac:dyDescent="0.2">
      <c r="B432" s="10"/>
      <c r="C432" s="98" t="s">
        <v>513</v>
      </c>
      <c r="D432" s="70" t="s">
        <v>497</v>
      </c>
      <c r="E432" s="103" t="s">
        <v>164</v>
      </c>
      <c r="F432" s="72">
        <v>899</v>
      </c>
      <c r="G432" s="73" t="s">
        <v>98</v>
      </c>
      <c r="H432" s="71" t="s">
        <v>276</v>
      </c>
      <c r="I432" s="73"/>
      <c r="J432" s="75">
        <f>I432*1798</f>
        <v>0</v>
      </c>
      <c r="K432" s="74"/>
      <c r="L432" s="11"/>
    </row>
    <row r="433" spans="2:12" s="9" customFormat="1" ht="13.5" customHeight="1" x14ac:dyDescent="0.2">
      <c r="B433" s="10"/>
      <c r="C433" s="98" t="s">
        <v>514</v>
      </c>
      <c r="D433" s="70" t="s">
        <v>497</v>
      </c>
      <c r="E433" s="103" t="s">
        <v>21</v>
      </c>
      <c r="F433" s="72">
        <v>930</v>
      </c>
      <c r="G433" s="73" t="s">
        <v>98</v>
      </c>
      <c r="H433" s="71" t="s">
        <v>276</v>
      </c>
      <c r="I433" s="73"/>
      <c r="J433" s="75">
        <f>I433*1860</f>
        <v>0</v>
      </c>
      <c r="K433" s="74"/>
      <c r="L433" s="11"/>
    </row>
    <row r="434" spans="2:12" s="9" customFormat="1" ht="13.5" customHeight="1" x14ac:dyDescent="0.2">
      <c r="B434" s="10"/>
      <c r="C434" s="98" t="s">
        <v>515</v>
      </c>
      <c r="D434" s="70" t="s">
        <v>497</v>
      </c>
      <c r="E434" s="103" t="s">
        <v>21</v>
      </c>
      <c r="F434" s="72">
        <v>930</v>
      </c>
      <c r="G434" s="73" t="s">
        <v>98</v>
      </c>
      <c r="H434" s="71" t="s">
        <v>276</v>
      </c>
      <c r="I434" s="73"/>
      <c r="J434" s="75">
        <f>I434*1860</f>
        <v>0</v>
      </c>
      <c r="K434" s="74"/>
      <c r="L434" s="11"/>
    </row>
    <row r="435" spans="2:12" s="9" customFormat="1" ht="13.5" customHeight="1" x14ac:dyDescent="0.2">
      <c r="B435" s="10"/>
      <c r="C435" s="98" t="s">
        <v>516</v>
      </c>
      <c r="D435" s="70" t="s">
        <v>497</v>
      </c>
      <c r="E435" s="103" t="s">
        <v>109</v>
      </c>
      <c r="F435" s="72">
        <v>985</v>
      </c>
      <c r="G435" s="73" t="s">
        <v>98</v>
      </c>
      <c r="H435" s="71" t="s">
        <v>276</v>
      </c>
      <c r="I435" s="73"/>
      <c r="J435" s="75">
        <f>I435*1970</f>
        <v>0</v>
      </c>
      <c r="K435" s="74"/>
      <c r="L435" s="11"/>
    </row>
    <row r="436" spans="2:12" s="9" customFormat="1" ht="13.5" customHeight="1" x14ac:dyDescent="0.2">
      <c r="B436" s="10"/>
      <c r="C436" s="100" t="s">
        <v>517</v>
      </c>
      <c r="D436" s="82" t="s">
        <v>518</v>
      </c>
      <c r="E436" s="105" t="s">
        <v>25</v>
      </c>
      <c r="F436" s="84">
        <v>847</v>
      </c>
      <c r="G436" s="85" t="s">
        <v>98</v>
      </c>
      <c r="H436" s="83" t="s">
        <v>276</v>
      </c>
      <c r="I436" s="85"/>
      <c r="J436" s="87">
        <f>I436*1694</f>
        <v>0</v>
      </c>
      <c r="K436" s="86"/>
      <c r="L436" s="11"/>
    </row>
    <row r="437" spans="2:12" s="9" customFormat="1" ht="13.5" customHeight="1" x14ac:dyDescent="0.2">
      <c r="B437" s="10"/>
      <c r="C437" s="98" t="s">
        <v>519</v>
      </c>
      <c r="D437" s="70" t="s">
        <v>518</v>
      </c>
      <c r="E437" s="103" t="s">
        <v>109</v>
      </c>
      <c r="F437" s="75">
        <v>1145</v>
      </c>
      <c r="G437" s="73" t="s">
        <v>98</v>
      </c>
      <c r="H437" s="71" t="s">
        <v>276</v>
      </c>
      <c r="I437" s="73"/>
      <c r="J437" s="75">
        <f>I437*2290</f>
        <v>0</v>
      </c>
      <c r="K437" s="74"/>
      <c r="L437" s="11"/>
    </row>
    <row r="438" spans="2:12" s="9" customFormat="1" ht="13.5" customHeight="1" x14ac:dyDescent="0.2">
      <c r="B438" s="10"/>
      <c r="C438" s="98" t="s">
        <v>520</v>
      </c>
      <c r="D438" s="70" t="s">
        <v>518</v>
      </c>
      <c r="E438" s="103" t="s">
        <v>109</v>
      </c>
      <c r="F438" s="75">
        <v>1245</v>
      </c>
      <c r="G438" s="73" t="s">
        <v>98</v>
      </c>
      <c r="H438" s="71" t="s">
        <v>276</v>
      </c>
      <c r="I438" s="73"/>
      <c r="J438" s="75">
        <f>I438*2490</f>
        <v>0</v>
      </c>
      <c r="K438" s="74"/>
      <c r="L438" s="11"/>
    </row>
    <row r="439" spans="2:12" s="9" customFormat="1" ht="30" customHeight="1" x14ac:dyDescent="0.3">
      <c r="B439" s="10"/>
      <c r="C439" s="88" t="s">
        <v>521</v>
      </c>
      <c r="D439" s="89"/>
      <c r="E439" s="106"/>
      <c r="F439" s="89"/>
      <c r="G439" s="90"/>
      <c r="H439" s="89"/>
      <c r="I439" s="89"/>
      <c r="J439" s="89"/>
      <c r="K439" s="91"/>
      <c r="L439" s="10"/>
    </row>
    <row r="440" spans="2:12" s="9" customFormat="1" ht="13.5" customHeight="1" x14ac:dyDescent="0.2">
      <c r="B440" s="10"/>
      <c r="C440" s="98" t="s">
        <v>522</v>
      </c>
      <c r="D440" s="70" t="s">
        <v>523</v>
      </c>
      <c r="E440" s="103" t="s">
        <v>299</v>
      </c>
      <c r="F440" s="72">
        <v>942.75</v>
      </c>
      <c r="G440" s="73" t="s">
        <v>98</v>
      </c>
      <c r="H440" s="71" t="s">
        <v>118</v>
      </c>
      <c r="I440" s="73"/>
      <c r="J440" s="75">
        <f>I440*942.75</f>
        <v>0</v>
      </c>
      <c r="K440" s="74"/>
      <c r="L440" s="11"/>
    </row>
    <row r="441" spans="2:12" s="9" customFormat="1" ht="13.5" customHeight="1" x14ac:dyDescent="0.2">
      <c r="B441" s="10"/>
      <c r="C441" s="100" t="s">
        <v>524</v>
      </c>
      <c r="D441" s="82" t="s">
        <v>523</v>
      </c>
      <c r="E441" s="105" t="s">
        <v>25</v>
      </c>
      <c r="F441" s="84">
        <v>971.2</v>
      </c>
      <c r="G441" s="85" t="s">
        <v>98</v>
      </c>
      <c r="H441" s="83" t="s">
        <v>118</v>
      </c>
      <c r="I441" s="85"/>
      <c r="J441" s="87">
        <f>I441*971.2</f>
        <v>0</v>
      </c>
      <c r="K441" s="86"/>
      <c r="L441" s="11"/>
    </row>
    <row r="442" spans="2:12" s="9" customFormat="1" ht="13.5" customHeight="1" x14ac:dyDescent="0.2">
      <c r="B442" s="10"/>
      <c r="C442" s="100" t="s">
        <v>525</v>
      </c>
      <c r="D442" s="82" t="s">
        <v>523</v>
      </c>
      <c r="E442" s="105" t="s">
        <v>413</v>
      </c>
      <c r="F442" s="84">
        <v>983.7</v>
      </c>
      <c r="G442" s="85" t="s">
        <v>98</v>
      </c>
      <c r="H442" s="83" t="s">
        <v>118</v>
      </c>
      <c r="I442" s="85"/>
      <c r="J442" s="87">
        <f>I442*983.7</f>
        <v>0</v>
      </c>
      <c r="K442" s="86"/>
      <c r="L442" s="11"/>
    </row>
    <row r="443" spans="2:12" s="9" customFormat="1" ht="13.5" customHeight="1" x14ac:dyDescent="0.2">
      <c r="B443" s="10"/>
      <c r="C443" s="100" t="s">
        <v>526</v>
      </c>
      <c r="D443" s="82" t="s">
        <v>523</v>
      </c>
      <c r="E443" s="105" t="s">
        <v>25</v>
      </c>
      <c r="F443" s="84">
        <v>997</v>
      </c>
      <c r="G443" s="85" t="s">
        <v>98</v>
      </c>
      <c r="H443" s="83" t="s">
        <v>118</v>
      </c>
      <c r="I443" s="85"/>
      <c r="J443" s="87">
        <f>I443*997</f>
        <v>0</v>
      </c>
      <c r="K443" s="86"/>
      <c r="L443" s="11"/>
    </row>
    <row r="444" spans="2:12" s="9" customFormat="1" ht="13.5" customHeight="1" x14ac:dyDescent="0.2">
      <c r="B444" s="10"/>
      <c r="C444" s="100" t="s">
        <v>527</v>
      </c>
      <c r="D444" s="82" t="s">
        <v>523</v>
      </c>
      <c r="E444" s="105" t="s">
        <v>25</v>
      </c>
      <c r="F444" s="84">
        <v>997</v>
      </c>
      <c r="G444" s="85" t="s">
        <v>98</v>
      </c>
      <c r="H444" s="83" t="s">
        <v>118</v>
      </c>
      <c r="I444" s="85"/>
      <c r="J444" s="87">
        <f>I444*997</f>
        <v>0</v>
      </c>
      <c r="K444" s="86"/>
      <c r="L444" s="11"/>
    </row>
    <row r="445" spans="2:12" s="9" customFormat="1" ht="13.5" customHeight="1" x14ac:dyDescent="0.2">
      <c r="B445" s="10"/>
      <c r="C445" s="98" t="s">
        <v>528</v>
      </c>
      <c r="D445" s="70" t="s">
        <v>523</v>
      </c>
      <c r="E445" s="103" t="s">
        <v>158</v>
      </c>
      <c r="F445" s="75">
        <v>1090</v>
      </c>
      <c r="G445" s="73" t="s">
        <v>98</v>
      </c>
      <c r="H445" s="71" t="s">
        <v>118</v>
      </c>
      <c r="I445" s="73"/>
      <c r="J445" s="75">
        <f>I445*1090</f>
        <v>0</v>
      </c>
      <c r="K445" s="74"/>
      <c r="L445" s="11"/>
    </row>
    <row r="446" spans="2:12" s="9" customFormat="1" ht="13.5" customHeight="1" x14ac:dyDescent="0.2">
      <c r="B446" s="10"/>
      <c r="C446" s="98" t="s">
        <v>529</v>
      </c>
      <c r="D446" s="70" t="s">
        <v>523</v>
      </c>
      <c r="E446" s="103" t="s">
        <v>158</v>
      </c>
      <c r="F446" s="75">
        <v>1170</v>
      </c>
      <c r="G446" s="73" t="s">
        <v>98</v>
      </c>
      <c r="H446" s="71" t="s">
        <v>118</v>
      </c>
      <c r="I446" s="73"/>
      <c r="J446" s="75">
        <f>I446*1170</f>
        <v>0</v>
      </c>
      <c r="K446" s="74"/>
      <c r="L446" s="11"/>
    </row>
    <row r="447" spans="2:12" s="9" customFormat="1" ht="13.5" customHeight="1" x14ac:dyDescent="0.2">
      <c r="B447" s="10"/>
      <c r="C447" s="98" t="s">
        <v>530</v>
      </c>
      <c r="D447" s="70" t="s">
        <v>523</v>
      </c>
      <c r="E447" s="103" t="s">
        <v>21</v>
      </c>
      <c r="F447" s="75">
        <v>1289</v>
      </c>
      <c r="G447" s="73" t="s">
        <v>98</v>
      </c>
      <c r="H447" s="71" t="s">
        <v>118</v>
      </c>
      <c r="I447" s="73"/>
      <c r="J447" s="75">
        <f>I447*1289</f>
        <v>0</v>
      </c>
      <c r="K447" s="74"/>
      <c r="L447" s="11"/>
    </row>
    <row r="448" spans="2:12" s="9" customFormat="1" ht="13.5" customHeight="1" x14ac:dyDescent="0.2">
      <c r="B448" s="10"/>
      <c r="C448" s="98" t="s">
        <v>531</v>
      </c>
      <c r="D448" s="70" t="s">
        <v>523</v>
      </c>
      <c r="E448" s="103" t="s">
        <v>164</v>
      </c>
      <c r="F448" s="75">
        <v>1290</v>
      </c>
      <c r="G448" s="73" t="s">
        <v>98</v>
      </c>
      <c r="H448" s="71" t="s">
        <v>276</v>
      </c>
      <c r="I448" s="73"/>
      <c r="J448" s="75">
        <f>I448*2580</f>
        <v>0</v>
      </c>
      <c r="K448" s="74"/>
      <c r="L448" s="11"/>
    </row>
    <row r="449" spans="2:12" s="9" customFormat="1" ht="13.5" customHeight="1" x14ac:dyDescent="0.2">
      <c r="B449" s="10"/>
      <c r="C449" s="98" t="s">
        <v>532</v>
      </c>
      <c r="D449" s="70" t="s">
        <v>523</v>
      </c>
      <c r="E449" s="103" t="s">
        <v>164</v>
      </c>
      <c r="F449" s="75">
        <v>1384</v>
      </c>
      <c r="G449" s="73" t="s">
        <v>98</v>
      </c>
      <c r="H449" s="71" t="s">
        <v>118</v>
      </c>
      <c r="I449" s="73"/>
      <c r="J449" s="75">
        <f>I449*1384</f>
        <v>0</v>
      </c>
      <c r="K449" s="74"/>
      <c r="L449" s="11"/>
    </row>
    <row r="450" spans="2:12" s="9" customFormat="1" ht="13.5" customHeight="1" x14ac:dyDescent="0.2">
      <c r="B450" s="10"/>
      <c r="C450" s="98" t="s">
        <v>533</v>
      </c>
      <c r="D450" s="70" t="s">
        <v>523</v>
      </c>
      <c r="E450" s="103" t="s">
        <v>21</v>
      </c>
      <c r="F450" s="75">
        <v>1418</v>
      </c>
      <c r="G450" s="73" t="s">
        <v>98</v>
      </c>
      <c r="H450" s="71" t="s">
        <v>118</v>
      </c>
      <c r="I450" s="73"/>
      <c r="J450" s="75">
        <f>I450*1418</f>
        <v>0</v>
      </c>
      <c r="K450" s="74"/>
      <c r="L450" s="11"/>
    </row>
    <row r="451" spans="2:12" s="9" customFormat="1" ht="30" customHeight="1" x14ac:dyDescent="0.3">
      <c r="B451" s="10"/>
      <c r="C451" s="88" t="s">
        <v>534</v>
      </c>
      <c r="D451" s="89"/>
      <c r="E451" s="106"/>
      <c r="F451" s="89"/>
      <c r="G451" s="90"/>
      <c r="H451" s="89"/>
      <c r="I451" s="89"/>
      <c r="J451" s="89"/>
      <c r="K451" s="91"/>
      <c r="L451" s="10"/>
    </row>
    <row r="452" spans="2:12" s="9" customFormat="1" ht="13.5" customHeight="1" x14ac:dyDescent="0.2">
      <c r="B452" s="10"/>
      <c r="C452" s="98" t="s">
        <v>535</v>
      </c>
      <c r="D452" s="70" t="s">
        <v>536</v>
      </c>
      <c r="E452" s="103" t="s">
        <v>158</v>
      </c>
      <c r="F452" s="75">
        <v>1300</v>
      </c>
      <c r="G452" s="73" t="s">
        <v>98</v>
      </c>
      <c r="H452" s="71" t="s">
        <v>118</v>
      </c>
      <c r="I452" s="73"/>
      <c r="J452" s="75">
        <f>I452*1300</f>
        <v>0</v>
      </c>
      <c r="K452" s="74"/>
      <c r="L452" s="11"/>
    </row>
    <row r="453" spans="2:12" s="9" customFormat="1" ht="13.5" customHeight="1" x14ac:dyDescent="0.2">
      <c r="B453" s="10"/>
      <c r="C453" s="100" t="s">
        <v>537</v>
      </c>
      <c r="D453" s="82" t="s">
        <v>538</v>
      </c>
      <c r="E453" s="105" t="s">
        <v>413</v>
      </c>
      <c r="F453" s="87">
        <v>1306.2</v>
      </c>
      <c r="G453" s="85" t="s">
        <v>98</v>
      </c>
      <c r="H453" s="83" t="s">
        <v>118</v>
      </c>
      <c r="I453" s="85"/>
      <c r="J453" s="87">
        <f>I453*1306.2</f>
        <v>0</v>
      </c>
      <c r="K453" s="86"/>
      <c r="L453" s="11"/>
    </row>
    <row r="454" spans="2:12" s="9" customFormat="1" ht="13.5" customHeight="1" x14ac:dyDescent="0.2">
      <c r="B454" s="10"/>
      <c r="C454" s="100" t="s">
        <v>539</v>
      </c>
      <c r="D454" s="82" t="s">
        <v>538</v>
      </c>
      <c r="E454" s="105" t="s">
        <v>25</v>
      </c>
      <c r="F454" s="87">
        <v>1600</v>
      </c>
      <c r="G454" s="85" t="s">
        <v>98</v>
      </c>
      <c r="H454" s="83" t="s">
        <v>118</v>
      </c>
      <c r="I454" s="85"/>
      <c r="J454" s="87">
        <f>I454*1600</f>
        <v>0</v>
      </c>
      <c r="K454" s="86"/>
      <c r="L454" s="11"/>
    </row>
    <row r="455" spans="2:12" s="9" customFormat="1" ht="13.5" customHeight="1" x14ac:dyDescent="0.2">
      <c r="B455" s="10"/>
      <c r="C455" s="100" t="s">
        <v>540</v>
      </c>
      <c r="D455" s="82" t="s">
        <v>538</v>
      </c>
      <c r="E455" s="105" t="s">
        <v>25</v>
      </c>
      <c r="F455" s="87">
        <v>1600</v>
      </c>
      <c r="G455" s="85" t="s">
        <v>98</v>
      </c>
      <c r="H455" s="83" t="s">
        <v>118</v>
      </c>
      <c r="I455" s="85"/>
      <c r="J455" s="87">
        <f>I455*1600</f>
        <v>0</v>
      </c>
      <c r="K455" s="86"/>
      <c r="L455" s="11"/>
    </row>
    <row r="456" spans="2:12" s="9" customFormat="1" ht="13.5" customHeight="1" x14ac:dyDescent="0.2">
      <c r="B456" s="10"/>
      <c r="C456" s="100" t="s">
        <v>541</v>
      </c>
      <c r="D456" s="82" t="s">
        <v>538</v>
      </c>
      <c r="E456" s="105" t="s">
        <v>25</v>
      </c>
      <c r="F456" s="87">
        <v>1600</v>
      </c>
      <c r="G456" s="85" t="s">
        <v>98</v>
      </c>
      <c r="H456" s="83" t="s">
        <v>118</v>
      </c>
      <c r="I456" s="85"/>
      <c r="J456" s="87">
        <f>I456*1600</f>
        <v>0</v>
      </c>
      <c r="K456" s="86"/>
      <c r="L456" s="11"/>
    </row>
    <row r="457" spans="2:12" s="9" customFormat="1" ht="13.5" customHeight="1" x14ac:dyDescent="0.2">
      <c r="B457" s="10"/>
      <c r="C457" s="100" t="s">
        <v>542</v>
      </c>
      <c r="D457" s="82" t="s">
        <v>538</v>
      </c>
      <c r="E457" s="105" t="s">
        <v>158</v>
      </c>
      <c r="F457" s="87">
        <v>1650</v>
      </c>
      <c r="G457" s="85" t="s">
        <v>98</v>
      </c>
      <c r="H457" s="83" t="s">
        <v>118</v>
      </c>
      <c r="I457" s="85"/>
      <c r="J457" s="87">
        <f>I457*1650</f>
        <v>0</v>
      </c>
      <c r="K457" s="86"/>
      <c r="L457" s="11"/>
    </row>
    <row r="458" spans="2:12" s="9" customFormat="1" ht="13.5" customHeight="1" x14ac:dyDescent="0.2">
      <c r="B458" s="10"/>
      <c r="C458" s="100" t="s">
        <v>543</v>
      </c>
      <c r="D458" s="82" t="s">
        <v>538</v>
      </c>
      <c r="E458" s="105" t="s">
        <v>158</v>
      </c>
      <c r="F458" s="87">
        <v>1650</v>
      </c>
      <c r="G458" s="85" t="s">
        <v>98</v>
      </c>
      <c r="H458" s="83" t="s">
        <v>118</v>
      </c>
      <c r="I458" s="85"/>
      <c r="J458" s="87">
        <f>I458*1650</f>
        <v>0</v>
      </c>
      <c r="K458" s="86"/>
      <c r="L458" s="11"/>
    </row>
    <row r="459" spans="2:12" s="9" customFormat="1" ht="13.5" customHeight="1" x14ac:dyDescent="0.2">
      <c r="B459" s="10"/>
      <c r="C459" s="98" t="s">
        <v>544</v>
      </c>
      <c r="D459" s="70" t="s">
        <v>538</v>
      </c>
      <c r="E459" s="103" t="s">
        <v>21</v>
      </c>
      <c r="F459" s="75">
        <v>1866</v>
      </c>
      <c r="G459" s="73" t="s">
        <v>98</v>
      </c>
      <c r="H459" s="71" t="s">
        <v>118</v>
      </c>
      <c r="I459" s="73"/>
      <c r="J459" s="75">
        <f>I459*1866</f>
        <v>0</v>
      </c>
      <c r="K459" s="74"/>
      <c r="L459" s="11"/>
    </row>
    <row r="460" spans="2:12" s="9" customFormat="1" ht="13.5" customHeight="1" x14ac:dyDescent="0.2">
      <c r="B460" s="10"/>
      <c r="C460" s="98" t="s">
        <v>545</v>
      </c>
      <c r="D460" s="70" t="s">
        <v>538</v>
      </c>
      <c r="E460" s="103" t="s">
        <v>21</v>
      </c>
      <c r="F460" s="75">
        <v>1866</v>
      </c>
      <c r="G460" s="73" t="s">
        <v>98</v>
      </c>
      <c r="H460" s="71" t="s">
        <v>118</v>
      </c>
      <c r="I460" s="73"/>
      <c r="J460" s="75">
        <f>I460*1866</f>
        <v>0</v>
      </c>
      <c r="K460" s="74"/>
      <c r="L460" s="11"/>
    </row>
    <row r="461" spans="2:12" s="9" customFormat="1" ht="13.5" customHeight="1" x14ac:dyDescent="0.2">
      <c r="B461" s="10"/>
      <c r="C461" s="98" t="s">
        <v>546</v>
      </c>
      <c r="D461" s="70" t="s">
        <v>538</v>
      </c>
      <c r="E461" s="103" t="s">
        <v>164</v>
      </c>
      <c r="F461" s="75">
        <v>1960</v>
      </c>
      <c r="G461" s="73" t="s">
        <v>98</v>
      </c>
      <c r="H461" s="71" t="s">
        <v>118</v>
      </c>
      <c r="I461" s="73"/>
      <c r="J461" s="75">
        <f>I461*1960</f>
        <v>0</v>
      </c>
      <c r="K461" s="74"/>
      <c r="L461" s="11"/>
    </row>
    <row r="462" spans="2:12" s="9" customFormat="1" ht="13.5" customHeight="1" x14ac:dyDescent="0.2">
      <c r="B462" s="10"/>
      <c r="C462" s="98" t="s">
        <v>547</v>
      </c>
      <c r="D462" s="70" t="s">
        <v>538</v>
      </c>
      <c r="E462" s="103" t="s">
        <v>109</v>
      </c>
      <c r="F462" s="75">
        <v>1985</v>
      </c>
      <c r="G462" s="73" t="s">
        <v>98</v>
      </c>
      <c r="H462" s="71" t="s">
        <v>118</v>
      </c>
      <c r="I462" s="73"/>
      <c r="J462" s="75">
        <f>I462*1985</f>
        <v>0</v>
      </c>
      <c r="K462" s="74"/>
      <c r="L462" s="11"/>
    </row>
    <row r="463" spans="2:12" s="9" customFormat="1" ht="13.5" customHeight="1" x14ac:dyDescent="0.2">
      <c r="B463" s="10"/>
      <c r="C463" s="98" t="s">
        <v>548</v>
      </c>
      <c r="D463" s="70" t="s">
        <v>538</v>
      </c>
      <c r="E463" s="103" t="s">
        <v>164</v>
      </c>
      <c r="F463" s="75">
        <v>1990</v>
      </c>
      <c r="G463" s="73" t="s">
        <v>98</v>
      </c>
      <c r="H463" s="71" t="s">
        <v>118</v>
      </c>
      <c r="I463" s="73"/>
      <c r="J463" s="75">
        <f>I463*1990</f>
        <v>0</v>
      </c>
      <c r="K463" s="74"/>
      <c r="L463" s="11"/>
    </row>
    <row r="464" spans="2:12" s="9" customFormat="1" ht="30" customHeight="1" x14ac:dyDescent="0.3">
      <c r="B464" s="10"/>
      <c r="C464" s="88" t="s">
        <v>549</v>
      </c>
      <c r="D464" s="89"/>
      <c r="E464" s="106"/>
      <c r="F464" s="89"/>
      <c r="G464" s="90"/>
      <c r="H464" s="89"/>
      <c r="I464" s="89"/>
      <c r="J464" s="89"/>
      <c r="K464" s="91"/>
      <c r="L464" s="10"/>
    </row>
    <row r="465" spans="2:12" s="9" customFormat="1" ht="13.5" customHeight="1" x14ac:dyDescent="0.2">
      <c r="B465" s="10"/>
      <c r="C465" s="98" t="s">
        <v>550</v>
      </c>
      <c r="D465" s="70" t="s">
        <v>551</v>
      </c>
      <c r="E465" s="103" t="s">
        <v>164</v>
      </c>
      <c r="F465" s="75">
        <v>4020</v>
      </c>
      <c r="G465" s="73" t="s">
        <v>98</v>
      </c>
      <c r="H465" s="71" t="s">
        <v>118</v>
      </c>
      <c r="I465" s="73"/>
      <c r="J465" s="75">
        <f>I465*4020</f>
        <v>0</v>
      </c>
      <c r="K465" s="74"/>
      <c r="L465" s="11"/>
    </row>
    <row r="466" spans="2:12" s="9" customFormat="1" ht="30" customHeight="1" x14ac:dyDescent="0.3">
      <c r="B466" s="10"/>
      <c r="C466" s="88" t="s">
        <v>552</v>
      </c>
      <c r="D466" s="89"/>
      <c r="E466" s="106"/>
      <c r="F466" s="89"/>
      <c r="G466" s="90"/>
      <c r="H466" s="89"/>
      <c r="I466" s="89"/>
      <c r="J466" s="89"/>
      <c r="K466" s="91"/>
      <c r="L466" s="10"/>
    </row>
    <row r="467" spans="2:12" s="9" customFormat="1" ht="13.5" customHeight="1" x14ac:dyDescent="0.2">
      <c r="B467" s="10"/>
      <c r="C467" s="100" t="s">
        <v>553</v>
      </c>
      <c r="D467" s="82" t="s">
        <v>554</v>
      </c>
      <c r="E467" s="105" t="s">
        <v>25</v>
      </c>
      <c r="F467" s="87">
        <v>2625</v>
      </c>
      <c r="G467" s="85" t="s">
        <v>98</v>
      </c>
      <c r="H467" s="83" t="s">
        <v>118</v>
      </c>
      <c r="I467" s="85"/>
      <c r="J467" s="87">
        <f>I467*2625</f>
        <v>0</v>
      </c>
      <c r="K467" s="86"/>
      <c r="L467" s="11"/>
    </row>
    <row r="468" spans="2:12" s="9" customFormat="1" ht="13.5" customHeight="1" x14ac:dyDescent="0.2">
      <c r="B468" s="10"/>
      <c r="C468" s="100" t="s">
        <v>555</v>
      </c>
      <c r="D468" s="82" t="s">
        <v>554</v>
      </c>
      <c r="E468" s="105" t="s">
        <v>25</v>
      </c>
      <c r="F468" s="87">
        <v>2625</v>
      </c>
      <c r="G468" s="85" t="s">
        <v>98</v>
      </c>
      <c r="H468" s="83" t="s">
        <v>118</v>
      </c>
      <c r="I468" s="85"/>
      <c r="J468" s="87">
        <f>I468*2625</f>
        <v>0</v>
      </c>
      <c r="K468" s="86"/>
      <c r="L468" s="11"/>
    </row>
    <row r="469" spans="2:12" s="9" customFormat="1" ht="13.5" customHeight="1" x14ac:dyDescent="0.2">
      <c r="B469" s="10"/>
      <c r="C469" s="98" t="s">
        <v>556</v>
      </c>
      <c r="D469" s="70" t="s">
        <v>554</v>
      </c>
      <c r="E469" s="103" t="s">
        <v>25</v>
      </c>
      <c r="F469" s="75">
        <v>2728.1</v>
      </c>
      <c r="G469" s="73" t="s">
        <v>98</v>
      </c>
      <c r="H469" s="71" t="s">
        <v>118</v>
      </c>
      <c r="I469" s="73"/>
      <c r="J469" s="75">
        <f>I469*2728.1</f>
        <v>0</v>
      </c>
      <c r="K469" s="74"/>
      <c r="L469" s="11"/>
    </row>
    <row r="470" spans="2:12" s="9" customFormat="1" ht="13.5" customHeight="1" x14ac:dyDescent="0.2">
      <c r="B470" s="10"/>
      <c r="C470" s="98" t="s">
        <v>557</v>
      </c>
      <c r="D470" s="70" t="s">
        <v>554</v>
      </c>
      <c r="E470" s="103" t="s">
        <v>164</v>
      </c>
      <c r="F470" s="75">
        <v>3795</v>
      </c>
      <c r="G470" s="73" t="s">
        <v>98</v>
      </c>
      <c r="H470" s="71" t="s">
        <v>118</v>
      </c>
      <c r="I470" s="73"/>
      <c r="J470" s="75">
        <f>I470*3795</f>
        <v>0</v>
      </c>
      <c r="K470" s="74"/>
      <c r="L470" s="11"/>
    </row>
    <row r="471" spans="2:12" s="1" customFormat="1" ht="44.1" customHeight="1" x14ac:dyDescent="0.2">
      <c r="B471" s="8"/>
      <c r="C471" s="63" t="s">
        <v>558</v>
      </c>
      <c r="D471" s="62"/>
      <c r="E471" s="63"/>
      <c r="F471" s="108"/>
      <c r="G471" s="108"/>
      <c r="H471" s="63"/>
      <c r="I471" s="63"/>
      <c r="J471" s="63"/>
      <c r="K471" s="63"/>
      <c r="L471" s="8"/>
    </row>
    <row r="472" spans="2:12" s="9" customFormat="1" ht="13.5" customHeight="1" x14ac:dyDescent="0.2">
      <c r="B472" s="10"/>
      <c r="C472" s="98" t="s">
        <v>559</v>
      </c>
      <c r="D472" s="70" t="s">
        <v>20</v>
      </c>
      <c r="E472" s="103" t="s">
        <v>299</v>
      </c>
      <c r="F472" s="75">
        <v>1123.5</v>
      </c>
      <c r="G472" s="73" t="s">
        <v>22</v>
      </c>
      <c r="H472" s="71" t="s">
        <v>26</v>
      </c>
      <c r="I472" s="73"/>
      <c r="J472" s="75">
        <f>I472*1123.5</f>
        <v>0</v>
      </c>
      <c r="K472" s="74"/>
      <c r="L472" s="11"/>
    </row>
    <row r="473" spans="2:12" s="9" customFormat="1" ht="13.5" customHeight="1" x14ac:dyDescent="0.2">
      <c r="B473" s="10"/>
      <c r="C473" s="98" t="s">
        <v>560</v>
      </c>
      <c r="D473" s="70" t="s">
        <v>20</v>
      </c>
      <c r="E473" s="103" t="s">
        <v>299</v>
      </c>
      <c r="F473" s="75">
        <v>1289</v>
      </c>
      <c r="G473" s="73" t="s">
        <v>22</v>
      </c>
      <c r="H473" s="71" t="s">
        <v>26</v>
      </c>
      <c r="I473" s="73"/>
      <c r="J473" s="75">
        <f>I473*1289</f>
        <v>0</v>
      </c>
      <c r="K473" s="74"/>
      <c r="L473" s="11"/>
    </row>
    <row r="474" spans="2:12" s="9" customFormat="1" ht="13.5" customHeight="1" x14ac:dyDescent="0.2">
      <c r="B474" s="10"/>
      <c r="C474" s="98" t="s">
        <v>561</v>
      </c>
      <c r="D474" s="70" t="s">
        <v>20</v>
      </c>
      <c r="E474" s="103" t="s">
        <v>25</v>
      </c>
      <c r="F474" s="75">
        <v>1310</v>
      </c>
      <c r="G474" s="73" t="s">
        <v>98</v>
      </c>
      <c r="H474" s="71" t="s">
        <v>118</v>
      </c>
      <c r="I474" s="73"/>
      <c r="J474" s="75">
        <f>I474*1310</f>
        <v>0</v>
      </c>
      <c r="K474" s="74"/>
      <c r="L474" s="11"/>
    </row>
    <row r="475" spans="2:12" s="9" customFormat="1" ht="13.5" customHeight="1" x14ac:dyDescent="0.2">
      <c r="B475" s="10"/>
      <c r="C475" s="100" t="s">
        <v>562</v>
      </c>
      <c r="D475" s="82" t="s">
        <v>20</v>
      </c>
      <c r="E475" s="105" t="s">
        <v>299</v>
      </c>
      <c r="F475" s="87">
        <v>1497</v>
      </c>
      <c r="G475" s="85" t="s">
        <v>98</v>
      </c>
      <c r="H475" s="83" t="s">
        <v>118</v>
      </c>
      <c r="I475" s="85"/>
      <c r="J475" s="87">
        <f>I475*1497</f>
        <v>0</v>
      </c>
      <c r="K475" s="86"/>
      <c r="L475" s="11"/>
    </row>
    <row r="476" spans="2:12" s="9" customFormat="1" ht="13.5" customHeight="1" x14ac:dyDescent="0.2">
      <c r="B476" s="10"/>
      <c r="C476" s="99" t="s">
        <v>563</v>
      </c>
      <c r="D476" s="76" t="s">
        <v>20</v>
      </c>
      <c r="E476" s="104" t="s">
        <v>158</v>
      </c>
      <c r="F476" s="81">
        <v>1650</v>
      </c>
      <c r="G476" s="79" t="s">
        <v>98</v>
      </c>
      <c r="H476" s="77" t="s">
        <v>118</v>
      </c>
      <c r="I476" s="79"/>
      <c r="J476" s="81">
        <f>I476*1650</f>
        <v>0</v>
      </c>
      <c r="K476" s="80"/>
      <c r="L476" s="11"/>
    </row>
    <row r="477" spans="2:12" s="9" customFormat="1" ht="13.5" customHeight="1" x14ac:dyDescent="0.2">
      <c r="B477" s="10"/>
      <c r="C477" s="98" t="s">
        <v>564</v>
      </c>
      <c r="D477" s="70" t="s">
        <v>20</v>
      </c>
      <c r="E477" s="103" t="s">
        <v>109</v>
      </c>
      <c r="F477" s="75">
        <v>1800</v>
      </c>
      <c r="G477" s="73" t="s">
        <v>22</v>
      </c>
      <c r="H477" s="71" t="s">
        <v>26</v>
      </c>
      <c r="I477" s="73"/>
      <c r="J477" s="75">
        <f>I477*1800</f>
        <v>0</v>
      </c>
      <c r="K477" s="74"/>
      <c r="L477" s="11"/>
    </row>
    <row r="478" spans="2:12" s="9" customFormat="1" ht="13.5" customHeight="1" x14ac:dyDescent="0.2">
      <c r="B478" s="10"/>
      <c r="C478" s="98" t="s">
        <v>565</v>
      </c>
      <c r="D478" s="70" t="s">
        <v>20</v>
      </c>
      <c r="E478" s="103" t="s">
        <v>164</v>
      </c>
      <c r="F478" s="75">
        <v>1924</v>
      </c>
      <c r="G478" s="73" t="s">
        <v>98</v>
      </c>
      <c r="H478" s="71" t="s">
        <v>118</v>
      </c>
      <c r="I478" s="73"/>
      <c r="J478" s="75">
        <f>I478*1924</f>
        <v>0</v>
      </c>
      <c r="K478" s="74"/>
      <c r="L478" s="11"/>
    </row>
    <row r="479" spans="2:12" s="9" customFormat="1" ht="13.5" customHeight="1" x14ac:dyDescent="0.2">
      <c r="B479" s="10"/>
      <c r="C479" s="99" t="s">
        <v>566</v>
      </c>
      <c r="D479" s="76" t="s">
        <v>20</v>
      </c>
      <c r="E479" s="104" t="s">
        <v>158</v>
      </c>
      <c r="F479" s="81">
        <v>2150</v>
      </c>
      <c r="G479" s="79" t="s">
        <v>98</v>
      </c>
      <c r="H479" s="77" t="s">
        <v>118</v>
      </c>
      <c r="I479" s="79"/>
      <c r="J479" s="81">
        <f>I479*2150</f>
        <v>0</v>
      </c>
      <c r="K479" s="80"/>
      <c r="L479" s="11"/>
    </row>
    <row r="480" spans="2:12" s="9" customFormat="1" ht="13.5" customHeight="1" x14ac:dyDescent="0.2">
      <c r="B480" s="10"/>
      <c r="C480" s="99" t="s">
        <v>567</v>
      </c>
      <c r="D480" s="76" t="s">
        <v>20</v>
      </c>
      <c r="E480" s="104" t="s">
        <v>158</v>
      </c>
      <c r="F480" s="81">
        <v>2150</v>
      </c>
      <c r="G480" s="79" t="s">
        <v>98</v>
      </c>
      <c r="H480" s="77" t="s">
        <v>118</v>
      </c>
      <c r="I480" s="79"/>
      <c r="J480" s="81">
        <f>I480*2150</f>
        <v>0</v>
      </c>
      <c r="K480" s="80"/>
      <c r="L480" s="11"/>
    </row>
    <row r="481" spans="2:12" s="1" customFormat="1" ht="44.1" customHeight="1" x14ac:dyDescent="0.2">
      <c r="B481" s="8"/>
      <c r="C481" s="63" t="s">
        <v>568</v>
      </c>
      <c r="D481" s="62"/>
      <c r="E481" s="63"/>
      <c r="F481" s="108"/>
      <c r="G481" s="108"/>
      <c r="H481" s="63"/>
      <c r="I481" s="63"/>
      <c r="J481" s="63"/>
      <c r="K481" s="63"/>
      <c r="L481" s="8"/>
    </row>
    <row r="482" spans="2:12" s="9" customFormat="1" ht="30" customHeight="1" x14ac:dyDescent="0.3">
      <c r="B482" s="10"/>
      <c r="C482" s="88" t="s">
        <v>378</v>
      </c>
      <c r="D482" s="89"/>
      <c r="E482" s="106"/>
      <c r="F482" s="89"/>
      <c r="G482" s="90"/>
      <c r="H482" s="89"/>
      <c r="I482" s="89"/>
      <c r="J482" s="89"/>
      <c r="K482" s="91"/>
      <c r="L482" s="10"/>
    </row>
    <row r="483" spans="2:12" s="9" customFormat="1" ht="13.5" customHeight="1" x14ac:dyDescent="0.2">
      <c r="B483" s="10"/>
      <c r="C483" s="98" t="s">
        <v>569</v>
      </c>
      <c r="D483" s="70" t="s">
        <v>570</v>
      </c>
      <c r="E483" s="103" t="s">
        <v>25</v>
      </c>
      <c r="F483" s="72">
        <v>217.2</v>
      </c>
      <c r="G483" s="73" t="s">
        <v>98</v>
      </c>
      <c r="H483" s="71" t="s">
        <v>276</v>
      </c>
      <c r="I483" s="73"/>
      <c r="J483" s="75">
        <f>I483*434.4</f>
        <v>0</v>
      </c>
      <c r="K483" s="74"/>
      <c r="L483" s="11"/>
    </row>
    <row r="484" spans="2:12" s="9" customFormat="1" ht="13.5" customHeight="1" x14ac:dyDescent="0.2">
      <c r="B484" s="10"/>
      <c r="C484" s="98" t="s">
        <v>571</v>
      </c>
      <c r="D484" s="70" t="s">
        <v>570</v>
      </c>
      <c r="E484" s="103" t="s">
        <v>21</v>
      </c>
      <c r="F484" s="72">
        <v>305</v>
      </c>
      <c r="G484" s="73" t="s">
        <v>98</v>
      </c>
      <c r="H484" s="71" t="s">
        <v>118</v>
      </c>
      <c r="I484" s="73"/>
      <c r="J484" s="75">
        <f>I484*305</f>
        <v>0</v>
      </c>
      <c r="K484" s="74"/>
      <c r="L484" s="11"/>
    </row>
    <row r="485" spans="2:12" s="9" customFormat="1" ht="13.5" customHeight="1" x14ac:dyDescent="0.2">
      <c r="B485" s="10"/>
      <c r="C485" s="98" t="s">
        <v>572</v>
      </c>
      <c r="D485" s="70" t="s">
        <v>573</v>
      </c>
      <c r="E485" s="103" t="s">
        <v>25</v>
      </c>
      <c r="F485" s="72">
        <v>398</v>
      </c>
      <c r="G485" s="73" t="s">
        <v>98</v>
      </c>
      <c r="H485" s="71" t="s">
        <v>118</v>
      </c>
      <c r="I485" s="73"/>
      <c r="J485" s="75">
        <f>I485*398</f>
        <v>0</v>
      </c>
      <c r="K485" s="74"/>
      <c r="L485" s="11"/>
    </row>
    <row r="486" spans="2:12" s="9" customFormat="1" ht="13.5" customHeight="1" x14ac:dyDescent="0.2">
      <c r="B486" s="10"/>
      <c r="C486" s="98" t="s">
        <v>574</v>
      </c>
      <c r="D486" s="70" t="s">
        <v>573</v>
      </c>
      <c r="E486" s="103" t="s">
        <v>21</v>
      </c>
      <c r="F486" s="72">
        <v>929</v>
      </c>
      <c r="G486" s="73" t="s">
        <v>98</v>
      </c>
      <c r="H486" s="71" t="s">
        <v>118</v>
      </c>
      <c r="I486" s="73"/>
      <c r="J486" s="75">
        <f>I486*929</f>
        <v>0</v>
      </c>
      <c r="K486" s="74"/>
      <c r="L486" s="11"/>
    </row>
    <row r="487" spans="2:12" s="9" customFormat="1" ht="13.5" customHeight="1" x14ac:dyDescent="0.2">
      <c r="B487" s="10"/>
      <c r="C487" s="98" t="s">
        <v>575</v>
      </c>
      <c r="D487" s="70" t="s">
        <v>576</v>
      </c>
      <c r="E487" s="103" t="s">
        <v>25</v>
      </c>
      <c r="F487" s="72">
        <v>795</v>
      </c>
      <c r="G487" s="73" t="s">
        <v>98</v>
      </c>
      <c r="H487" s="71" t="s">
        <v>118</v>
      </c>
      <c r="I487" s="73"/>
      <c r="J487" s="75">
        <f>I487*795</f>
        <v>0</v>
      </c>
      <c r="K487" s="74"/>
      <c r="L487" s="11"/>
    </row>
    <row r="488" spans="2:12" s="9" customFormat="1" ht="13.5" customHeight="1" x14ac:dyDescent="0.2">
      <c r="B488" s="10"/>
      <c r="C488" s="98" t="s">
        <v>577</v>
      </c>
      <c r="D488" s="70" t="s">
        <v>576</v>
      </c>
      <c r="E488" s="103" t="s">
        <v>164</v>
      </c>
      <c r="F488" s="75">
        <v>1310</v>
      </c>
      <c r="G488" s="73" t="s">
        <v>98</v>
      </c>
      <c r="H488" s="71" t="s">
        <v>118</v>
      </c>
      <c r="I488" s="73"/>
      <c r="J488" s="75">
        <f>I488*1310</f>
        <v>0</v>
      </c>
      <c r="K488" s="74"/>
      <c r="L488" s="11"/>
    </row>
    <row r="489" spans="2:12" s="9" customFormat="1" ht="30" customHeight="1" x14ac:dyDescent="0.3">
      <c r="B489" s="10"/>
      <c r="C489" s="88" t="s">
        <v>403</v>
      </c>
      <c r="D489" s="89"/>
      <c r="E489" s="106"/>
      <c r="F489" s="89"/>
      <c r="G489" s="90"/>
      <c r="H489" s="89"/>
      <c r="I489" s="89"/>
      <c r="J489" s="89"/>
      <c r="K489" s="91"/>
      <c r="L489" s="10"/>
    </row>
    <row r="490" spans="2:12" s="9" customFormat="1" ht="13.5" customHeight="1" x14ac:dyDescent="0.2">
      <c r="B490" s="10"/>
      <c r="C490" s="98" t="s">
        <v>578</v>
      </c>
      <c r="D490" s="70" t="s">
        <v>579</v>
      </c>
      <c r="E490" s="103" t="s">
        <v>25</v>
      </c>
      <c r="F490" s="75">
        <v>1002</v>
      </c>
      <c r="G490" s="73" t="s">
        <v>98</v>
      </c>
      <c r="H490" s="71" t="s">
        <v>118</v>
      </c>
      <c r="I490" s="73"/>
      <c r="J490" s="75">
        <f>I490*1002</f>
        <v>0</v>
      </c>
      <c r="K490" s="74"/>
      <c r="L490" s="11"/>
    </row>
    <row r="491" spans="2:12" s="9" customFormat="1" ht="13.5" customHeight="1" x14ac:dyDescent="0.2">
      <c r="B491" s="10"/>
      <c r="C491" s="98" t="s">
        <v>580</v>
      </c>
      <c r="D491" s="70" t="s">
        <v>581</v>
      </c>
      <c r="E491" s="103" t="s">
        <v>164</v>
      </c>
      <c r="F491" s="75">
        <v>1620</v>
      </c>
      <c r="G491" s="73" t="s">
        <v>98</v>
      </c>
      <c r="H491" s="71" t="s">
        <v>118</v>
      </c>
      <c r="I491" s="73"/>
      <c r="J491" s="75">
        <f>I491*1620</f>
        <v>0</v>
      </c>
      <c r="K491" s="74"/>
      <c r="L491" s="11"/>
    </row>
    <row r="492" spans="2:12" s="9" customFormat="1" ht="13.5" customHeight="1" x14ac:dyDescent="0.2">
      <c r="B492" s="10"/>
      <c r="C492" s="98" t="s">
        <v>582</v>
      </c>
      <c r="D492" s="70" t="s">
        <v>581</v>
      </c>
      <c r="E492" s="103" t="s">
        <v>164</v>
      </c>
      <c r="F492" s="75">
        <v>1620</v>
      </c>
      <c r="G492" s="73" t="s">
        <v>98</v>
      </c>
      <c r="H492" s="71" t="s">
        <v>118</v>
      </c>
      <c r="I492" s="73"/>
      <c r="J492" s="75">
        <f>I492*1620</f>
        <v>0</v>
      </c>
      <c r="K492" s="74"/>
      <c r="L492" s="11"/>
    </row>
    <row r="493" spans="2:12" s="9" customFormat="1" ht="13.5" customHeight="1" x14ac:dyDescent="0.2">
      <c r="B493" s="10"/>
      <c r="C493" s="98" t="s">
        <v>583</v>
      </c>
      <c r="D493" s="70" t="s">
        <v>584</v>
      </c>
      <c r="E493" s="103" t="s">
        <v>25</v>
      </c>
      <c r="F493" s="75">
        <v>1434</v>
      </c>
      <c r="G493" s="73" t="s">
        <v>98</v>
      </c>
      <c r="H493" s="71" t="s">
        <v>118</v>
      </c>
      <c r="I493" s="73"/>
      <c r="J493" s="75">
        <f>I493*1434</f>
        <v>0</v>
      </c>
      <c r="K493" s="74"/>
      <c r="L493" s="11"/>
    </row>
    <row r="494" spans="2:12" s="9" customFormat="1" ht="13.5" customHeight="1" x14ac:dyDescent="0.2">
      <c r="B494" s="10"/>
      <c r="C494" s="98" t="s">
        <v>585</v>
      </c>
      <c r="D494" s="70" t="s">
        <v>584</v>
      </c>
      <c r="E494" s="103" t="s">
        <v>109</v>
      </c>
      <c r="F494" s="75">
        <v>1985</v>
      </c>
      <c r="G494" s="73" t="s">
        <v>98</v>
      </c>
      <c r="H494" s="71" t="s">
        <v>118</v>
      </c>
      <c r="I494" s="73"/>
      <c r="J494" s="75">
        <f>I494*1985</f>
        <v>0</v>
      </c>
      <c r="K494" s="74"/>
      <c r="L494" s="11"/>
    </row>
    <row r="495" spans="2:12" s="9" customFormat="1" ht="13.5" customHeight="1" x14ac:dyDescent="0.2">
      <c r="B495" s="10"/>
      <c r="C495" s="98" t="s">
        <v>586</v>
      </c>
      <c r="D495" s="70" t="s">
        <v>584</v>
      </c>
      <c r="E495" s="103" t="s">
        <v>587</v>
      </c>
      <c r="F495" s="75">
        <v>2090</v>
      </c>
      <c r="G495" s="73" t="s">
        <v>98</v>
      </c>
      <c r="H495" s="71" t="s">
        <v>118</v>
      </c>
      <c r="I495" s="73"/>
      <c r="J495" s="75">
        <f>I495*2090</f>
        <v>0</v>
      </c>
      <c r="K495" s="74"/>
      <c r="L495" s="11"/>
    </row>
    <row r="496" spans="2:12" s="9" customFormat="1" ht="13.5" customHeight="1" x14ac:dyDescent="0.2">
      <c r="B496" s="10"/>
      <c r="C496" s="98" t="s">
        <v>588</v>
      </c>
      <c r="D496" s="70" t="s">
        <v>584</v>
      </c>
      <c r="E496" s="103" t="s">
        <v>587</v>
      </c>
      <c r="F496" s="75">
        <v>2125</v>
      </c>
      <c r="G496" s="73" t="s">
        <v>98</v>
      </c>
      <c r="H496" s="71" t="s">
        <v>118</v>
      </c>
      <c r="I496" s="73"/>
      <c r="J496" s="75">
        <f>I496*2125</f>
        <v>0</v>
      </c>
      <c r="K496" s="74"/>
      <c r="L496" s="11"/>
    </row>
    <row r="497" spans="2:12" s="9" customFormat="1" ht="13.5" customHeight="1" x14ac:dyDescent="0.2">
      <c r="B497" s="10"/>
      <c r="C497" s="98" t="s">
        <v>589</v>
      </c>
      <c r="D497" s="70" t="s">
        <v>584</v>
      </c>
      <c r="E497" s="103" t="s">
        <v>109</v>
      </c>
      <c r="F497" s="75">
        <v>2230</v>
      </c>
      <c r="G497" s="73" t="s">
        <v>98</v>
      </c>
      <c r="H497" s="71" t="s">
        <v>118</v>
      </c>
      <c r="I497" s="73"/>
      <c r="J497" s="75">
        <f>I497*2230</f>
        <v>0</v>
      </c>
      <c r="K497" s="74"/>
      <c r="L497" s="11"/>
    </row>
    <row r="498" spans="2:12" s="9" customFormat="1" ht="13.5" customHeight="1" x14ac:dyDescent="0.2">
      <c r="B498" s="10"/>
      <c r="C498" s="98" t="s">
        <v>590</v>
      </c>
      <c r="D498" s="70" t="s">
        <v>591</v>
      </c>
      <c r="E498" s="103" t="s">
        <v>21</v>
      </c>
      <c r="F498" s="75">
        <v>2666</v>
      </c>
      <c r="G498" s="73" t="s">
        <v>98</v>
      </c>
      <c r="H498" s="71" t="s">
        <v>118</v>
      </c>
      <c r="I498" s="73"/>
      <c r="J498" s="75">
        <f>I498*2666</f>
        <v>0</v>
      </c>
      <c r="K498" s="74"/>
      <c r="L498" s="11"/>
    </row>
    <row r="499" spans="2:12" s="9" customFormat="1" ht="13.5" customHeight="1" x14ac:dyDescent="0.2">
      <c r="B499" s="10"/>
      <c r="C499" s="100" t="s">
        <v>592</v>
      </c>
      <c r="D499" s="82" t="s">
        <v>593</v>
      </c>
      <c r="E499" s="105" t="s">
        <v>25</v>
      </c>
      <c r="F499" s="87">
        <v>2004</v>
      </c>
      <c r="G499" s="85" t="s">
        <v>98</v>
      </c>
      <c r="H499" s="83" t="s">
        <v>118</v>
      </c>
      <c r="I499" s="85"/>
      <c r="J499" s="87">
        <f>I499*2004</f>
        <v>0</v>
      </c>
      <c r="K499" s="86"/>
      <c r="L499" s="11"/>
    </row>
    <row r="500" spans="2:12" s="9" customFormat="1" ht="13.5" customHeight="1" x14ac:dyDescent="0.2">
      <c r="B500" s="10"/>
      <c r="C500" s="98" t="s">
        <v>594</v>
      </c>
      <c r="D500" s="70" t="s">
        <v>595</v>
      </c>
      <c r="E500" s="103" t="s">
        <v>21</v>
      </c>
      <c r="F500" s="75">
        <v>3100</v>
      </c>
      <c r="G500" s="73" t="s">
        <v>98</v>
      </c>
      <c r="H500" s="71" t="s">
        <v>118</v>
      </c>
      <c r="I500" s="73"/>
      <c r="J500" s="75">
        <f>I500*3100</f>
        <v>0</v>
      </c>
      <c r="K500" s="74"/>
      <c r="L500" s="11"/>
    </row>
    <row r="501" spans="2:12" s="9" customFormat="1" ht="13.5" customHeight="1" x14ac:dyDescent="0.2">
      <c r="B501" s="10"/>
      <c r="C501" s="98" t="s">
        <v>596</v>
      </c>
      <c r="D501" s="70" t="s">
        <v>597</v>
      </c>
      <c r="E501" s="103" t="s">
        <v>21</v>
      </c>
      <c r="F501" s="75">
        <v>3990</v>
      </c>
      <c r="G501" s="73" t="s">
        <v>98</v>
      </c>
      <c r="H501" s="71" t="s">
        <v>118</v>
      </c>
      <c r="I501" s="73"/>
      <c r="J501" s="75">
        <f>I501*3990</f>
        <v>0</v>
      </c>
      <c r="K501" s="74"/>
      <c r="L501" s="11"/>
    </row>
    <row r="502" spans="2:12" s="9" customFormat="1" ht="13.5" customHeight="1" x14ac:dyDescent="0.2">
      <c r="B502" s="10"/>
      <c r="C502" s="98" t="s">
        <v>598</v>
      </c>
      <c r="D502" s="70" t="s">
        <v>599</v>
      </c>
      <c r="E502" s="103" t="s">
        <v>164</v>
      </c>
      <c r="F502" s="75">
        <v>4047</v>
      </c>
      <c r="G502" s="73" t="s">
        <v>98</v>
      </c>
      <c r="H502" s="71" t="s">
        <v>118</v>
      </c>
      <c r="I502" s="73"/>
      <c r="J502" s="75">
        <f>I502*4047</f>
        <v>0</v>
      </c>
      <c r="K502" s="74"/>
      <c r="L502" s="11"/>
    </row>
    <row r="503" spans="2:12" s="9" customFormat="1" ht="13.5" customHeight="1" x14ac:dyDescent="0.2">
      <c r="B503" s="10"/>
      <c r="C503" s="97" t="s">
        <v>600</v>
      </c>
      <c r="D503" s="64" t="s">
        <v>601</v>
      </c>
      <c r="E503" s="102" t="s">
        <v>587</v>
      </c>
      <c r="F503" s="69">
        <v>2050</v>
      </c>
      <c r="G503" s="67" t="s">
        <v>98</v>
      </c>
      <c r="H503" s="65" t="s">
        <v>118</v>
      </c>
      <c r="I503" s="67"/>
      <c r="J503" s="69">
        <f>I503*2050</f>
        <v>0</v>
      </c>
      <c r="K503" s="68"/>
      <c r="L503" s="11"/>
    </row>
    <row r="504" spans="2:12" s="9" customFormat="1" ht="13.5" customHeight="1" x14ac:dyDescent="0.2">
      <c r="B504" s="10"/>
      <c r="C504" s="98" t="s">
        <v>602</v>
      </c>
      <c r="D504" s="70" t="s">
        <v>601</v>
      </c>
      <c r="E504" s="103" t="s">
        <v>587</v>
      </c>
      <c r="F504" s="75">
        <v>4150</v>
      </c>
      <c r="G504" s="73" t="s">
        <v>98</v>
      </c>
      <c r="H504" s="71" t="s">
        <v>118</v>
      </c>
      <c r="I504" s="73"/>
      <c r="J504" s="75">
        <f>I504*4150</f>
        <v>0</v>
      </c>
      <c r="K504" s="74"/>
      <c r="L504" s="11"/>
    </row>
    <row r="505" spans="2:12" s="9" customFormat="1" ht="13.5" customHeight="1" x14ac:dyDescent="0.2">
      <c r="B505" s="10"/>
      <c r="C505" s="98" t="s">
        <v>603</v>
      </c>
      <c r="D505" s="70" t="s">
        <v>601</v>
      </c>
      <c r="E505" s="103" t="s">
        <v>109</v>
      </c>
      <c r="F505" s="75">
        <v>4610</v>
      </c>
      <c r="G505" s="73" t="s">
        <v>98</v>
      </c>
      <c r="H505" s="71" t="s">
        <v>118</v>
      </c>
      <c r="I505" s="73"/>
      <c r="J505" s="75">
        <f>I505*4610</f>
        <v>0</v>
      </c>
      <c r="K505" s="74"/>
      <c r="L505" s="11"/>
    </row>
    <row r="506" spans="2:12" s="9" customFormat="1" ht="13.5" customHeight="1" x14ac:dyDescent="0.2">
      <c r="B506" s="10"/>
      <c r="C506" s="100" t="s">
        <v>604</v>
      </c>
      <c r="D506" s="82" t="s">
        <v>605</v>
      </c>
      <c r="E506" s="105" t="s">
        <v>25</v>
      </c>
      <c r="F506" s="87">
        <v>4181</v>
      </c>
      <c r="G506" s="85" t="s">
        <v>98</v>
      </c>
      <c r="H506" s="83" t="s">
        <v>118</v>
      </c>
      <c r="I506" s="85"/>
      <c r="J506" s="87">
        <f>I506*4181</f>
        <v>0</v>
      </c>
      <c r="K506" s="86"/>
      <c r="L506" s="11"/>
    </row>
    <row r="507" spans="2:12" s="9" customFormat="1" ht="13.5" customHeight="1" x14ac:dyDescent="0.2">
      <c r="B507" s="10"/>
      <c r="C507" s="98" t="s">
        <v>606</v>
      </c>
      <c r="D507" s="70" t="s">
        <v>605</v>
      </c>
      <c r="E507" s="103" t="s">
        <v>587</v>
      </c>
      <c r="F507" s="75">
        <v>4890</v>
      </c>
      <c r="G507" s="73" t="s">
        <v>98</v>
      </c>
      <c r="H507" s="71" t="s">
        <v>118</v>
      </c>
      <c r="I507" s="73"/>
      <c r="J507" s="75">
        <f>I507*4890</f>
        <v>0</v>
      </c>
      <c r="K507" s="74"/>
      <c r="L507" s="11"/>
    </row>
    <row r="508" spans="2:12" s="9" customFormat="1" ht="13.5" customHeight="1" x14ac:dyDescent="0.2">
      <c r="B508" s="10"/>
      <c r="C508" s="98" t="s">
        <v>607</v>
      </c>
      <c r="D508" s="70" t="s">
        <v>605</v>
      </c>
      <c r="E508" s="103" t="s">
        <v>109</v>
      </c>
      <c r="F508" s="75">
        <v>5240</v>
      </c>
      <c r="G508" s="73" t="s">
        <v>98</v>
      </c>
      <c r="H508" s="71" t="s">
        <v>118</v>
      </c>
      <c r="I508" s="73"/>
      <c r="J508" s="75">
        <f>I508*5240</f>
        <v>0</v>
      </c>
      <c r="K508" s="74"/>
      <c r="L508" s="11"/>
    </row>
    <row r="509" spans="2:12" s="9" customFormat="1" ht="13.5" customHeight="1" x14ac:dyDescent="0.2">
      <c r="B509" s="10"/>
      <c r="C509" s="98" t="s">
        <v>608</v>
      </c>
      <c r="D509" s="70" t="s">
        <v>605</v>
      </c>
      <c r="E509" s="103" t="s">
        <v>587</v>
      </c>
      <c r="F509" s="75">
        <v>5240</v>
      </c>
      <c r="G509" s="73" t="s">
        <v>98</v>
      </c>
      <c r="H509" s="71" t="s">
        <v>118</v>
      </c>
      <c r="I509" s="73"/>
      <c r="J509" s="75">
        <f>I509*5240</f>
        <v>0</v>
      </c>
      <c r="K509" s="74"/>
      <c r="L509" s="11"/>
    </row>
    <row r="510" spans="2:12" s="9" customFormat="1" ht="13.5" customHeight="1" x14ac:dyDescent="0.2">
      <c r="B510" s="10"/>
      <c r="C510" s="98" t="s">
        <v>609</v>
      </c>
      <c r="D510" s="70" t="s">
        <v>605</v>
      </c>
      <c r="E510" s="103" t="s">
        <v>109</v>
      </c>
      <c r="F510" s="75">
        <v>5630</v>
      </c>
      <c r="G510" s="73" t="s">
        <v>98</v>
      </c>
      <c r="H510" s="71" t="s">
        <v>118</v>
      </c>
      <c r="I510" s="73"/>
      <c r="J510" s="75">
        <f>I510*5630</f>
        <v>0</v>
      </c>
      <c r="K510" s="74"/>
      <c r="L510" s="11"/>
    </row>
    <row r="511" spans="2:12" s="9" customFormat="1" ht="13.5" customHeight="1" x14ac:dyDescent="0.2">
      <c r="B511" s="10"/>
      <c r="C511" s="98" t="s">
        <v>610</v>
      </c>
      <c r="D511" s="70" t="s">
        <v>605</v>
      </c>
      <c r="E511" s="103" t="s">
        <v>21</v>
      </c>
      <c r="F511" s="75">
        <v>6078</v>
      </c>
      <c r="G511" s="73" t="s">
        <v>98</v>
      </c>
      <c r="H511" s="71" t="s">
        <v>118</v>
      </c>
      <c r="I511" s="73"/>
      <c r="J511" s="75">
        <f>I511*6078</f>
        <v>0</v>
      </c>
      <c r="K511" s="74"/>
      <c r="L511" s="11"/>
    </row>
    <row r="512" spans="2:12" s="9" customFormat="1" ht="13.5" customHeight="1" x14ac:dyDescent="0.2">
      <c r="B512" s="10"/>
      <c r="C512" s="98" t="s">
        <v>611</v>
      </c>
      <c r="D512" s="70" t="s">
        <v>612</v>
      </c>
      <c r="E512" s="103" t="s">
        <v>164</v>
      </c>
      <c r="F512" s="75">
        <v>5635</v>
      </c>
      <c r="G512" s="73" t="s">
        <v>98</v>
      </c>
      <c r="H512" s="71" t="s">
        <v>118</v>
      </c>
      <c r="I512" s="73"/>
      <c r="J512" s="75">
        <f>I512*5635</f>
        <v>0</v>
      </c>
      <c r="K512" s="74"/>
      <c r="L512" s="11"/>
    </row>
    <row r="513" spans="2:12" s="9" customFormat="1" ht="13.5" customHeight="1" x14ac:dyDescent="0.2">
      <c r="B513" s="10"/>
      <c r="C513" s="98" t="s">
        <v>613</v>
      </c>
      <c r="D513" s="70" t="s">
        <v>614</v>
      </c>
      <c r="E513" s="103" t="s">
        <v>21</v>
      </c>
      <c r="F513" s="75">
        <v>7264</v>
      </c>
      <c r="G513" s="73" t="s">
        <v>98</v>
      </c>
      <c r="H513" s="71" t="s">
        <v>118</v>
      </c>
      <c r="I513" s="73"/>
      <c r="J513" s="75">
        <f>I513*7264</f>
        <v>0</v>
      </c>
      <c r="K513" s="74"/>
      <c r="L513" s="11"/>
    </row>
    <row r="514" spans="2:12" s="9" customFormat="1" ht="30" customHeight="1" x14ac:dyDescent="0.3">
      <c r="B514" s="10"/>
      <c r="C514" s="88" t="s">
        <v>420</v>
      </c>
      <c r="D514" s="89"/>
      <c r="E514" s="106"/>
      <c r="F514" s="89"/>
      <c r="G514" s="90"/>
      <c r="H514" s="89"/>
      <c r="I514" s="89"/>
      <c r="J514" s="89"/>
      <c r="K514" s="91"/>
      <c r="L514" s="10"/>
    </row>
    <row r="515" spans="2:12" s="9" customFormat="1" ht="13.5" customHeight="1" x14ac:dyDescent="0.2">
      <c r="B515" s="10"/>
      <c r="C515" s="98" t="s">
        <v>615</v>
      </c>
      <c r="D515" s="70" t="s">
        <v>616</v>
      </c>
      <c r="E515" s="103" t="s">
        <v>109</v>
      </c>
      <c r="F515" s="72">
        <v>575</v>
      </c>
      <c r="G515" s="73" t="s">
        <v>98</v>
      </c>
      <c r="H515" s="71" t="s">
        <v>118</v>
      </c>
      <c r="I515" s="73"/>
      <c r="J515" s="75">
        <f>I515*575</f>
        <v>0</v>
      </c>
      <c r="K515" s="74"/>
      <c r="L515" s="11"/>
    </row>
    <row r="516" spans="2:12" s="9" customFormat="1" ht="13.5" customHeight="1" x14ac:dyDescent="0.2">
      <c r="B516" s="10"/>
      <c r="C516" s="98" t="s">
        <v>617</v>
      </c>
      <c r="D516" s="70" t="s">
        <v>616</v>
      </c>
      <c r="E516" s="103" t="s">
        <v>109</v>
      </c>
      <c r="F516" s="72">
        <v>575</v>
      </c>
      <c r="G516" s="73" t="s">
        <v>98</v>
      </c>
      <c r="H516" s="71" t="s">
        <v>118</v>
      </c>
      <c r="I516" s="73"/>
      <c r="J516" s="75">
        <f>I516*575</f>
        <v>0</v>
      </c>
      <c r="K516" s="74"/>
      <c r="L516" s="11"/>
    </row>
    <row r="517" spans="2:12" s="9" customFormat="1" ht="13.5" customHeight="1" x14ac:dyDescent="0.2">
      <c r="B517" s="10"/>
      <c r="C517" s="98" t="s">
        <v>618</v>
      </c>
      <c r="D517" s="70" t="s">
        <v>616</v>
      </c>
      <c r="E517" s="103" t="s">
        <v>109</v>
      </c>
      <c r="F517" s="72">
        <v>575</v>
      </c>
      <c r="G517" s="73" t="s">
        <v>98</v>
      </c>
      <c r="H517" s="71" t="s">
        <v>118</v>
      </c>
      <c r="I517" s="73"/>
      <c r="J517" s="75">
        <f>I517*575</f>
        <v>0</v>
      </c>
      <c r="K517" s="74"/>
      <c r="L517" s="11"/>
    </row>
    <row r="518" spans="2:12" s="9" customFormat="1" ht="13.5" customHeight="1" x14ac:dyDescent="0.2">
      <c r="B518" s="10"/>
      <c r="C518" s="98" t="s">
        <v>619</v>
      </c>
      <c r="D518" s="70" t="s">
        <v>616</v>
      </c>
      <c r="E518" s="103" t="s">
        <v>587</v>
      </c>
      <c r="F518" s="72">
        <v>615</v>
      </c>
      <c r="G518" s="73" t="s">
        <v>98</v>
      </c>
      <c r="H518" s="71" t="s">
        <v>118</v>
      </c>
      <c r="I518" s="73"/>
      <c r="J518" s="75">
        <f>I518*615</f>
        <v>0</v>
      </c>
      <c r="K518" s="74"/>
      <c r="L518" s="11"/>
    </row>
    <row r="519" spans="2:12" s="9" customFormat="1" ht="13.5" customHeight="1" x14ac:dyDescent="0.2">
      <c r="B519" s="10"/>
      <c r="C519" s="99" t="s">
        <v>620</v>
      </c>
      <c r="D519" s="76" t="s">
        <v>616</v>
      </c>
      <c r="E519" s="104" t="s">
        <v>587</v>
      </c>
      <c r="F519" s="78">
        <v>615</v>
      </c>
      <c r="G519" s="79" t="s">
        <v>98</v>
      </c>
      <c r="H519" s="77" t="s">
        <v>118</v>
      </c>
      <c r="I519" s="79"/>
      <c r="J519" s="81">
        <f>I519*615</f>
        <v>0</v>
      </c>
      <c r="K519" s="80"/>
      <c r="L519" s="11"/>
    </row>
    <row r="520" spans="2:12" s="9" customFormat="1" ht="13.5" customHeight="1" x14ac:dyDescent="0.2">
      <c r="B520" s="10"/>
      <c r="C520" s="98" t="s">
        <v>621</v>
      </c>
      <c r="D520" s="70" t="s">
        <v>622</v>
      </c>
      <c r="E520" s="103" t="s">
        <v>109</v>
      </c>
      <c r="F520" s="72">
        <v>725</v>
      </c>
      <c r="G520" s="73" t="s">
        <v>98</v>
      </c>
      <c r="H520" s="71" t="s">
        <v>118</v>
      </c>
      <c r="I520" s="73"/>
      <c r="J520" s="75">
        <f>I520*725</f>
        <v>0</v>
      </c>
      <c r="K520" s="74"/>
      <c r="L520" s="11"/>
    </row>
    <row r="521" spans="2:12" s="9" customFormat="1" ht="13.5" customHeight="1" x14ac:dyDescent="0.2">
      <c r="B521" s="10"/>
      <c r="C521" s="99" t="s">
        <v>623</v>
      </c>
      <c r="D521" s="76" t="s">
        <v>622</v>
      </c>
      <c r="E521" s="104" t="s">
        <v>587</v>
      </c>
      <c r="F521" s="78">
        <v>765</v>
      </c>
      <c r="G521" s="79" t="s">
        <v>98</v>
      </c>
      <c r="H521" s="77" t="s">
        <v>118</v>
      </c>
      <c r="I521" s="79"/>
      <c r="J521" s="81">
        <f>I521*765</f>
        <v>0</v>
      </c>
      <c r="K521" s="80"/>
      <c r="L521" s="11"/>
    </row>
    <row r="522" spans="2:12" s="9" customFormat="1" ht="13.5" customHeight="1" x14ac:dyDescent="0.2">
      <c r="B522" s="10"/>
      <c r="C522" s="99" t="s">
        <v>624</v>
      </c>
      <c r="D522" s="76" t="s">
        <v>625</v>
      </c>
      <c r="E522" s="104" t="s">
        <v>164</v>
      </c>
      <c r="F522" s="81">
        <v>1377</v>
      </c>
      <c r="G522" s="79" t="s">
        <v>98</v>
      </c>
      <c r="H522" s="77" t="s">
        <v>118</v>
      </c>
      <c r="I522" s="79"/>
      <c r="J522" s="81">
        <f>I522*1377</f>
        <v>0</v>
      </c>
      <c r="K522" s="80"/>
      <c r="L522" s="11"/>
    </row>
    <row r="523" spans="2:12" s="9" customFormat="1" ht="13.5" customHeight="1" x14ac:dyDescent="0.2">
      <c r="B523" s="10"/>
      <c r="C523" s="98" t="s">
        <v>626</v>
      </c>
      <c r="D523" s="70" t="s">
        <v>625</v>
      </c>
      <c r="E523" s="103" t="s">
        <v>164</v>
      </c>
      <c r="F523" s="75">
        <v>1416</v>
      </c>
      <c r="G523" s="73" t="s">
        <v>98</v>
      </c>
      <c r="H523" s="71" t="s">
        <v>118</v>
      </c>
      <c r="I523" s="73"/>
      <c r="J523" s="75">
        <f>I523*1416</f>
        <v>0</v>
      </c>
      <c r="K523" s="74"/>
      <c r="L523" s="11"/>
    </row>
    <row r="524" spans="2:12" s="9" customFormat="1" ht="13.5" customHeight="1" x14ac:dyDescent="0.2">
      <c r="B524" s="10"/>
      <c r="C524" s="98" t="s">
        <v>627</v>
      </c>
      <c r="D524" s="70" t="s">
        <v>628</v>
      </c>
      <c r="E524" s="103" t="s">
        <v>21</v>
      </c>
      <c r="F524" s="75">
        <v>1870</v>
      </c>
      <c r="G524" s="73" t="s">
        <v>98</v>
      </c>
      <c r="H524" s="71" t="s">
        <v>118</v>
      </c>
      <c r="I524" s="73"/>
      <c r="J524" s="75">
        <f>I524*1870</f>
        <v>0</v>
      </c>
      <c r="K524" s="74"/>
      <c r="L524" s="11"/>
    </row>
    <row r="525" spans="2:12" s="9" customFormat="1" ht="13.5" customHeight="1" x14ac:dyDescent="0.2">
      <c r="B525" s="10"/>
      <c r="C525" s="98" t="s">
        <v>629</v>
      </c>
      <c r="D525" s="70" t="s">
        <v>630</v>
      </c>
      <c r="E525" s="103" t="s">
        <v>164</v>
      </c>
      <c r="F525" s="75">
        <v>2599</v>
      </c>
      <c r="G525" s="73" t="s">
        <v>98</v>
      </c>
      <c r="H525" s="71" t="s">
        <v>118</v>
      </c>
      <c r="I525" s="73"/>
      <c r="J525" s="75">
        <f>I525*2599</f>
        <v>0</v>
      </c>
      <c r="K525" s="74"/>
      <c r="L525" s="11"/>
    </row>
    <row r="526" spans="2:12" s="9" customFormat="1" ht="13.5" customHeight="1" x14ac:dyDescent="0.2">
      <c r="B526" s="10"/>
      <c r="C526" s="98" t="s">
        <v>631</v>
      </c>
      <c r="D526" s="70" t="s">
        <v>632</v>
      </c>
      <c r="E526" s="103" t="s">
        <v>21</v>
      </c>
      <c r="F526" s="75">
        <v>3505</v>
      </c>
      <c r="G526" s="73" t="s">
        <v>98</v>
      </c>
      <c r="H526" s="71" t="s">
        <v>118</v>
      </c>
      <c r="I526" s="73"/>
      <c r="J526" s="75">
        <f>I526*3505</f>
        <v>0</v>
      </c>
      <c r="K526" s="74"/>
      <c r="L526" s="11"/>
    </row>
    <row r="527" spans="2:12" s="9" customFormat="1" ht="13.5" customHeight="1" x14ac:dyDescent="0.2">
      <c r="B527" s="10"/>
      <c r="C527" s="98" t="s">
        <v>633</v>
      </c>
      <c r="D527" s="70" t="s">
        <v>634</v>
      </c>
      <c r="E527" s="103" t="s">
        <v>21</v>
      </c>
      <c r="F527" s="75">
        <v>7955</v>
      </c>
      <c r="G527" s="73" t="s">
        <v>98</v>
      </c>
      <c r="H527" s="71" t="s">
        <v>118</v>
      </c>
      <c r="I527" s="73"/>
      <c r="J527" s="75">
        <f>I527*7955</f>
        <v>0</v>
      </c>
      <c r="K527" s="74"/>
      <c r="L527" s="11"/>
    </row>
    <row r="528" spans="2:12" s="9" customFormat="1" ht="30" customHeight="1" x14ac:dyDescent="0.3">
      <c r="B528" s="10"/>
      <c r="C528" s="88" t="s">
        <v>425</v>
      </c>
      <c r="D528" s="89"/>
      <c r="E528" s="106"/>
      <c r="F528" s="89"/>
      <c r="G528" s="90"/>
      <c r="H528" s="89"/>
      <c r="I528" s="89"/>
      <c r="J528" s="89"/>
      <c r="K528" s="91"/>
      <c r="L528" s="10"/>
    </row>
    <row r="529" spans="2:12" s="9" customFormat="1" ht="13.5" customHeight="1" x14ac:dyDescent="0.2">
      <c r="B529" s="10"/>
      <c r="C529" s="100" t="s">
        <v>635</v>
      </c>
      <c r="D529" s="82" t="s">
        <v>636</v>
      </c>
      <c r="E529" s="105" t="s">
        <v>25</v>
      </c>
      <c r="F529" s="84">
        <v>419</v>
      </c>
      <c r="G529" s="85" t="s">
        <v>98</v>
      </c>
      <c r="H529" s="83" t="s">
        <v>118</v>
      </c>
      <c r="I529" s="85"/>
      <c r="J529" s="87">
        <f>I529*419</f>
        <v>0</v>
      </c>
      <c r="K529" s="86"/>
      <c r="L529" s="11"/>
    </row>
    <row r="530" spans="2:12" s="9" customFormat="1" ht="13.5" customHeight="1" x14ac:dyDescent="0.2">
      <c r="B530" s="10"/>
      <c r="C530" s="98" t="s">
        <v>637</v>
      </c>
      <c r="D530" s="70" t="s">
        <v>636</v>
      </c>
      <c r="E530" s="103" t="s">
        <v>21</v>
      </c>
      <c r="F530" s="72">
        <v>683</v>
      </c>
      <c r="G530" s="73" t="s">
        <v>98</v>
      </c>
      <c r="H530" s="71" t="s">
        <v>118</v>
      </c>
      <c r="I530" s="73"/>
      <c r="J530" s="75">
        <f>I530*683</f>
        <v>0</v>
      </c>
      <c r="K530" s="74"/>
      <c r="L530" s="11"/>
    </row>
    <row r="531" spans="2:12" s="9" customFormat="1" ht="13.5" customHeight="1" x14ac:dyDescent="0.2">
      <c r="B531" s="10"/>
      <c r="C531" s="98" t="s">
        <v>638</v>
      </c>
      <c r="D531" s="70" t="s">
        <v>636</v>
      </c>
      <c r="E531" s="103" t="s">
        <v>21</v>
      </c>
      <c r="F531" s="72">
        <v>683</v>
      </c>
      <c r="G531" s="73" t="s">
        <v>98</v>
      </c>
      <c r="H531" s="71" t="s">
        <v>118</v>
      </c>
      <c r="I531" s="73"/>
      <c r="J531" s="75">
        <f>I531*683</f>
        <v>0</v>
      </c>
      <c r="K531" s="74"/>
      <c r="L531" s="11"/>
    </row>
    <row r="532" spans="2:12" s="9" customFormat="1" ht="13.5" customHeight="1" x14ac:dyDescent="0.2">
      <c r="B532" s="10"/>
      <c r="C532" s="98" t="s">
        <v>639</v>
      </c>
      <c r="D532" s="70" t="s">
        <v>636</v>
      </c>
      <c r="E532" s="103" t="s">
        <v>21</v>
      </c>
      <c r="F532" s="72">
        <v>683</v>
      </c>
      <c r="G532" s="73" t="s">
        <v>98</v>
      </c>
      <c r="H532" s="71" t="s">
        <v>118</v>
      </c>
      <c r="I532" s="73"/>
      <c r="J532" s="75">
        <f>I532*683</f>
        <v>0</v>
      </c>
      <c r="K532" s="74"/>
      <c r="L532" s="11"/>
    </row>
    <row r="533" spans="2:12" s="9" customFormat="1" ht="13.5" customHeight="1" x14ac:dyDescent="0.2">
      <c r="B533" s="10"/>
      <c r="C533" s="98" t="s">
        <v>640</v>
      </c>
      <c r="D533" s="70" t="s">
        <v>636</v>
      </c>
      <c r="E533" s="103" t="s">
        <v>21</v>
      </c>
      <c r="F533" s="72">
        <v>683</v>
      </c>
      <c r="G533" s="73" t="s">
        <v>98</v>
      </c>
      <c r="H533" s="71" t="s">
        <v>118</v>
      </c>
      <c r="I533" s="73"/>
      <c r="J533" s="75">
        <f>I533*683</f>
        <v>0</v>
      </c>
      <c r="K533" s="74"/>
      <c r="L533" s="11"/>
    </row>
    <row r="534" spans="2:12" s="9" customFormat="1" ht="13.5" customHeight="1" x14ac:dyDescent="0.2">
      <c r="B534" s="10"/>
      <c r="C534" s="100" t="s">
        <v>641</v>
      </c>
      <c r="D534" s="82" t="s">
        <v>642</v>
      </c>
      <c r="E534" s="105" t="s">
        <v>25</v>
      </c>
      <c r="F534" s="84">
        <v>637</v>
      </c>
      <c r="G534" s="85" t="s">
        <v>98</v>
      </c>
      <c r="H534" s="83" t="s">
        <v>118</v>
      </c>
      <c r="I534" s="85"/>
      <c r="J534" s="87">
        <f>I534*637</f>
        <v>0</v>
      </c>
      <c r="K534" s="86"/>
      <c r="L534" s="11"/>
    </row>
    <row r="535" spans="2:12" s="9" customFormat="1" ht="13.5" customHeight="1" x14ac:dyDescent="0.2">
      <c r="B535" s="10"/>
      <c r="C535" s="98" t="s">
        <v>643</v>
      </c>
      <c r="D535" s="70" t="s">
        <v>642</v>
      </c>
      <c r="E535" s="103" t="s">
        <v>164</v>
      </c>
      <c r="F535" s="72">
        <v>779</v>
      </c>
      <c r="G535" s="73" t="s">
        <v>98</v>
      </c>
      <c r="H535" s="71" t="s">
        <v>118</v>
      </c>
      <c r="I535" s="73"/>
      <c r="J535" s="75">
        <f>I535*779</f>
        <v>0</v>
      </c>
      <c r="K535" s="74"/>
      <c r="L535" s="11"/>
    </row>
    <row r="536" spans="2:12" s="9" customFormat="1" ht="13.5" customHeight="1" x14ac:dyDescent="0.2">
      <c r="B536" s="10"/>
      <c r="C536" s="100" t="s">
        <v>644</v>
      </c>
      <c r="D536" s="82" t="s">
        <v>473</v>
      </c>
      <c r="E536" s="105" t="s">
        <v>299</v>
      </c>
      <c r="F536" s="84">
        <v>554</v>
      </c>
      <c r="G536" s="85" t="s">
        <v>98</v>
      </c>
      <c r="H536" s="83" t="s">
        <v>118</v>
      </c>
      <c r="I536" s="85"/>
      <c r="J536" s="87">
        <f>I536*554</f>
        <v>0</v>
      </c>
      <c r="K536" s="86"/>
      <c r="L536" s="11"/>
    </row>
    <row r="537" spans="2:12" s="9" customFormat="1" ht="13.5" customHeight="1" x14ac:dyDescent="0.2">
      <c r="B537" s="10"/>
      <c r="C537" s="100" t="s">
        <v>645</v>
      </c>
      <c r="D537" s="82" t="s">
        <v>473</v>
      </c>
      <c r="E537" s="105" t="s">
        <v>299</v>
      </c>
      <c r="F537" s="84">
        <v>554</v>
      </c>
      <c r="G537" s="85" t="s">
        <v>98</v>
      </c>
      <c r="H537" s="83" t="s">
        <v>118</v>
      </c>
      <c r="I537" s="85"/>
      <c r="J537" s="87">
        <f>I537*554</f>
        <v>0</v>
      </c>
      <c r="K537" s="86"/>
      <c r="L537" s="11"/>
    </row>
    <row r="538" spans="2:12" s="9" customFormat="1" ht="13.5" customHeight="1" x14ac:dyDescent="0.2">
      <c r="B538" s="10"/>
      <c r="C538" s="98" t="s">
        <v>646</v>
      </c>
      <c r="D538" s="70" t="s">
        <v>473</v>
      </c>
      <c r="E538" s="103" t="s">
        <v>314</v>
      </c>
      <c r="F538" s="72">
        <v>770</v>
      </c>
      <c r="G538" s="73" t="s">
        <v>98</v>
      </c>
      <c r="H538" s="71" t="s">
        <v>118</v>
      </c>
      <c r="I538" s="73"/>
      <c r="J538" s="75">
        <f>I538*770</f>
        <v>0</v>
      </c>
      <c r="K538" s="74"/>
      <c r="L538" s="11"/>
    </row>
    <row r="539" spans="2:12" s="9" customFormat="1" ht="13.5" customHeight="1" x14ac:dyDescent="0.2">
      <c r="B539" s="10"/>
      <c r="C539" s="98" t="s">
        <v>647</v>
      </c>
      <c r="D539" s="70" t="s">
        <v>473</v>
      </c>
      <c r="E539" s="103" t="s">
        <v>158</v>
      </c>
      <c r="F539" s="72">
        <v>810</v>
      </c>
      <c r="G539" s="73" t="s">
        <v>98</v>
      </c>
      <c r="H539" s="71" t="s">
        <v>118</v>
      </c>
      <c r="I539" s="73"/>
      <c r="J539" s="75">
        <f>I539*810</f>
        <v>0</v>
      </c>
      <c r="K539" s="74"/>
      <c r="L539" s="11"/>
    </row>
    <row r="540" spans="2:12" s="9" customFormat="1" ht="13.5" customHeight="1" x14ac:dyDescent="0.2">
      <c r="B540" s="10"/>
      <c r="C540" s="98" t="s">
        <v>648</v>
      </c>
      <c r="D540" s="70" t="s">
        <v>473</v>
      </c>
      <c r="E540" s="103" t="s">
        <v>587</v>
      </c>
      <c r="F540" s="72">
        <v>830</v>
      </c>
      <c r="G540" s="73" t="s">
        <v>98</v>
      </c>
      <c r="H540" s="71" t="s">
        <v>118</v>
      </c>
      <c r="I540" s="73"/>
      <c r="J540" s="75">
        <f>I540*830</f>
        <v>0</v>
      </c>
      <c r="K540" s="74"/>
      <c r="L540" s="11"/>
    </row>
    <row r="541" spans="2:12" s="9" customFormat="1" ht="13.5" customHeight="1" x14ac:dyDescent="0.2">
      <c r="B541" s="10"/>
      <c r="C541" s="98" t="s">
        <v>649</v>
      </c>
      <c r="D541" s="70" t="s">
        <v>473</v>
      </c>
      <c r="E541" s="103" t="s">
        <v>158</v>
      </c>
      <c r="F541" s="72">
        <v>830</v>
      </c>
      <c r="G541" s="73" t="s">
        <v>98</v>
      </c>
      <c r="H541" s="71" t="s">
        <v>118</v>
      </c>
      <c r="I541" s="73"/>
      <c r="J541" s="75">
        <f>I541*830</f>
        <v>0</v>
      </c>
      <c r="K541" s="74"/>
      <c r="L541" s="11"/>
    </row>
    <row r="542" spans="2:12" s="9" customFormat="1" ht="13.5" customHeight="1" x14ac:dyDescent="0.2">
      <c r="B542" s="10"/>
      <c r="C542" s="98" t="s">
        <v>650</v>
      </c>
      <c r="D542" s="70" t="s">
        <v>473</v>
      </c>
      <c r="E542" s="103" t="s">
        <v>21</v>
      </c>
      <c r="F542" s="72">
        <v>845</v>
      </c>
      <c r="G542" s="73" t="s">
        <v>98</v>
      </c>
      <c r="H542" s="71" t="s">
        <v>118</v>
      </c>
      <c r="I542" s="73"/>
      <c r="J542" s="75">
        <f>I542*845</f>
        <v>0</v>
      </c>
      <c r="K542" s="74"/>
      <c r="L542" s="11"/>
    </row>
    <row r="543" spans="2:12" s="9" customFormat="1" ht="13.5" customHeight="1" x14ac:dyDescent="0.2">
      <c r="B543" s="10"/>
      <c r="C543" s="98" t="s">
        <v>651</v>
      </c>
      <c r="D543" s="70" t="s">
        <v>473</v>
      </c>
      <c r="E543" s="103" t="s">
        <v>21</v>
      </c>
      <c r="F543" s="72">
        <v>972</v>
      </c>
      <c r="G543" s="73" t="s">
        <v>98</v>
      </c>
      <c r="H543" s="71" t="s">
        <v>118</v>
      </c>
      <c r="I543" s="73"/>
      <c r="J543" s="75">
        <f>I543*972</f>
        <v>0</v>
      </c>
      <c r="K543" s="74"/>
      <c r="L543" s="11"/>
    </row>
    <row r="544" spans="2:12" s="9" customFormat="1" ht="13.5" customHeight="1" x14ac:dyDescent="0.2">
      <c r="B544" s="10"/>
      <c r="C544" s="100" t="s">
        <v>652</v>
      </c>
      <c r="D544" s="82" t="s">
        <v>653</v>
      </c>
      <c r="E544" s="105" t="s">
        <v>25</v>
      </c>
      <c r="F544" s="84">
        <v>282</v>
      </c>
      <c r="G544" s="85" t="s">
        <v>98</v>
      </c>
      <c r="H544" s="83" t="s">
        <v>118</v>
      </c>
      <c r="I544" s="85"/>
      <c r="J544" s="87">
        <f>I544*282</f>
        <v>0</v>
      </c>
      <c r="K544" s="86"/>
      <c r="L544" s="11"/>
    </row>
    <row r="545" spans="2:12" s="9" customFormat="1" ht="13.5" customHeight="1" x14ac:dyDescent="0.2">
      <c r="B545" s="10"/>
      <c r="C545" s="100" t="s">
        <v>654</v>
      </c>
      <c r="D545" s="82" t="s">
        <v>476</v>
      </c>
      <c r="E545" s="105" t="s">
        <v>25</v>
      </c>
      <c r="F545" s="84">
        <v>750</v>
      </c>
      <c r="G545" s="85" t="s">
        <v>98</v>
      </c>
      <c r="H545" s="83" t="s">
        <v>118</v>
      </c>
      <c r="I545" s="85"/>
      <c r="J545" s="87">
        <f>I545*750</f>
        <v>0</v>
      </c>
      <c r="K545" s="86"/>
      <c r="L545" s="11"/>
    </row>
    <row r="546" spans="2:12" s="9" customFormat="1" ht="13.5" customHeight="1" x14ac:dyDescent="0.2">
      <c r="B546" s="10"/>
      <c r="C546" s="100" t="s">
        <v>655</v>
      </c>
      <c r="D546" s="82" t="s">
        <v>476</v>
      </c>
      <c r="E546" s="105" t="s">
        <v>25</v>
      </c>
      <c r="F546" s="84">
        <v>750</v>
      </c>
      <c r="G546" s="85" t="s">
        <v>98</v>
      </c>
      <c r="H546" s="83" t="s">
        <v>118</v>
      </c>
      <c r="I546" s="85"/>
      <c r="J546" s="87">
        <f>I546*750</f>
        <v>0</v>
      </c>
      <c r="K546" s="86"/>
      <c r="L546" s="11"/>
    </row>
    <row r="547" spans="2:12" s="9" customFormat="1" ht="13.5" customHeight="1" x14ac:dyDescent="0.2">
      <c r="B547" s="10"/>
      <c r="C547" s="98" t="s">
        <v>656</v>
      </c>
      <c r="D547" s="70" t="s">
        <v>476</v>
      </c>
      <c r="E547" s="103" t="s">
        <v>158</v>
      </c>
      <c r="F547" s="72">
        <v>950</v>
      </c>
      <c r="G547" s="73" t="s">
        <v>98</v>
      </c>
      <c r="H547" s="71" t="s">
        <v>118</v>
      </c>
      <c r="I547" s="73"/>
      <c r="J547" s="75">
        <f>I547*950</f>
        <v>0</v>
      </c>
      <c r="K547" s="74"/>
      <c r="L547" s="11"/>
    </row>
    <row r="548" spans="2:12" s="9" customFormat="1" ht="13.5" customHeight="1" x14ac:dyDescent="0.2">
      <c r="B548" s="10"/>
      <c r="C548" s="98" t="s">
        <v>657</v>
      </c>
      <c r="D548" s="70" t="s">
        <v>476</v>
      </c>
      <c r="E548" s="103" t="s">
        <v>158</v>
      </c>
      <c r="F548" s="72">
        <v>970</v>
      </c>
      <c r="G548" s="73" t="s">
        <v>98</v>
      </c>
      <c r="H548" s="71" t="s">
        <v>118</v>
      </c>
      <c r="I548" s="73"/>
      <c r="J548" s="75">
        <f>I548*970</f>
        <v>0</v>
      </c>
      <c r="K548" s="74"/>
      <c r="L548" s="11"/>
    </row>
    <row r="549" spans="2:12" s="9" customFormat="1" ht="13.5" customHeight="1" x14ac:dyDescent="0.2">
      <c r="B549" s="10"/>
      <c r="C549" s="98" t="s">
        <v>658</v>
      </c>
      <c r="D549" s="70" t="s">
        <v>659</v>
      </c>
      <c r="E549" s="103" t="s">
        <v>587</v>
      </c>
      <c r="F549" s="72">
        <v>899</v>
      </c>
      <c r="G549" s="73" t="s">
        <v>98</v>
      </c>
      <c r="H549" s="71" t="s">
        <v>118</v>
      </c>
      <c r="I549" s="73"/>
      <c r="J549" s="75">
        <f>I549*899</f>
        <v>0</v>
      </c>
      <c r="K549" s="74"/>
      <c r="L549" s="11"/>
    </row>
    <row r="550" spans="2:12" s="9" customFormat="1" ht="13.5" customHeight="1" x14ac:dyDescent="0.2">
      <c r="B550" s="10"/>
      <c r="C550" s="98" t="s">
        <v>660</v>
      </c>
      <c r="D550" s="70" t="s">
        <v>659</v>
      </c>
      <c r="E550" s="103" t="s">
        <v>164</v>
      </c>
      <c r="F550" s="75">
        <v>1470</v>
      </c>
      <c r="G550" s="73" t="s">
        <v>98</v>
      </c>
      <c r="H550" s="71" t="s">
        <v>118</v>
      </c>
      <c r="I550" s="73"/>
      <c r="J550" s="75">
        <f>I550*1470</f>
        <v>0</v>
      </c>
      <c r="K550" s="74"/>
      <c r="L550" s="11"/>
    </row>
    <row r="551" spans="2:12" s="9" customFormat="1" ht="13.5" customHeight="1" x14ac:dyDescent="0.2">
      <c r="B551" s="10"/>
      <c r="C551" s="100" t="s">
        <v>661</v>
      </c>
      <c r="D551" s="82" t="s">
        <v>662</v>
      </c>
      <c r="E551" s="105" t="s">
        <v>299</v>
      </c>
      <c r="F551" s="84">
        <v>756</v>
      </c>
      <c r="G551" s="85" t="s">
        <v>98</v>
      </c>
      <c r="H551" s="83" t="s">
        <v>118</v>
      </c>
      <c r="I551" s="85"/>
      <c r="J551" s="87">
        <f>I551*756</f>
        <v>0</v>
      </c>
      <c r="K551" s="86"/>
      <c r="L551" s="11"/>
    </row>
    <row r="552" spans="2:12" s="9" customFormat="1" ht="13.5" customHeight="1" x14ac:dyDescent="0.2">
      <c r="B552" s="10"/>
      <c r="C552" s="98" t="s">
        <v>663</v>
      </c>
      <c r="D552" s="70" t="s">
        <v>662</v>
      </c>
      <c r="E552" s="103" t="s">
        <v>299</v>
      </c>
      <c r="F552" s="72">
        <v>852</v>
      </c>
      <c r="G552" s="73" t="s">
        <v>98</v>
      </c>
      <c r="H552" s="71" t="s">
        <v>118</v>
      </c>
      <c r="I552" s="73"/>
      <c r="J552" s="75">
        <f>I552*852</f>
        <v>0</v>
      </c>
      <c r="K552" s="74"/>
      <c r="L552" s="11"/>
    </row>
    <row r="553" spans="2:12" s="9" customFormat="1" ht="13.5" customHeight="1" x14ac:dyDescent="0.2">
      <c r="B553" s="10"/>
      <c r="C553" s="98" t="s">
        <v>664</v>
      </c>
      <c r="D553" s="70" t="s">
        <v>662</v>
      </c>
      <c r="E553" s="103" t="s">
        <v>299</v>
      </c>
      <c r="F553" s="72">
        <v>868</v>
      </c>
      <c r="G553" s="73" t="s">
        <v>98</v>
      </c>
      <c r="H553" s="71" t="s">
        <v>118</v>
      </c>
      <c r="I553" s="73"/>
      <c r="J553" s="75">
        <f>I553*868</f>
        <v>0</v>
      </c>
      <c r="K553" s="74"/>
      <c r="L553" s="11"/>
    </row>
    <row r="554" spans="2:12" s="9" customFormat="1" ht="13.5" customHeight="1" x14ac:dyDescent="0.2">
      <c r="B554" s="10"/>
      <c r="C554" s="98" t="s">
        <v>665</v>
      </c>
      <c r="D554" s="70" t="s">
        <v>662</v>
      </c>
      <c r="E554" s="103" t="s">
        <v>299</v>
      </c>
      <c r="F554" s="72">
        <v>869</v>
      </c>
      <c r="G554" s="73" t="s">
        <v>98</v>
      </c>
      <c r="H554" s="71" t="s">
        <v>118</v>
      </c>
      <c r="I554" s="73"/>
      <c r="J554" s="75">
        <f>I554*869</f>
        <v>0</v>
      </c>
      <c r="K554" s="74"/>
      <c r="L554" s="11"/>
    </row>
    <row r="555" spans="2:12" s="9" customFormat="1" ht="13.5" customHeight="1" x14ac:dyDescent="0.2">
      <c r="B555" s="10"/>
      <c r="C555" s="100" t="s">
        <v>666</v>
      </c>
      <c r="D555" s="82" t="s">
        <v>662</v>
      </c>
      <c r="E555" s="105" t="s">
        <v>25</v>
      </c>
      <c r="F555" s="84">
        <v>895</v>
      </c>
      <c r="G555" s="85" t="s">
        <v>98</v>
      </c>
      <c r="H555" s="83" t="s">
        <v>118</v>
      </c>
      <c r="I555" s="85"/>
      <c r="J555" s="87">
        <f>I555*895</f>
        <v>0</v>
      </c>
      <c r="K555" s="86"/>
      <c r="L555" s="11"/>
    </row>
    <row r="556" spans="2:12" s="9" customFormat="1" ht="13.5" customHeight="1" x14ac:dyDescent="0.2">
      <c r="B556" s="10"/>
      <c r="C556" s="100" t="s">
        <v>667</v>
      </c>
      <c r="D556" s="82" t="s">
        <v>662</v>
      </c>
      <c r="E556" s="105" t="s">
        <v>25</v>
      </c>
      <c r="F556" s="84">
        <v>990</v>
      </c>
      <c r="G556" s="85" t="s">
        <v>98</v>
      </c>
      <c r="H556" s="83" t="s">
        <v>118</v>
      </c>
      <c r="I556" s="85"/>
      <c r="J556" s="87">
        <f>I556*990</f>
        <v>0</v>
      </c>
      <c r="K556" s="86"/>
      <c r="L556" s="11"/>
    </row>
    <row r="557" spans="2:12" s="9" customFormat="1" ht="13.5" customHeight="1" x14ac:dyDescent="0.2">
      <c r="B557" s="10"/>
      <c r="C557" s="100" t="s">
        <v>668</v>
      </c>
      <c r="D557" s="82" t="s">
        <v>662</v>
      </c>
      <c r="E557" s="105" t="s">
        <v>587</v>
      </c>
      <c r="F557" s="84">
        <v>999</v>
      </c>
      <c r="G557" s="85" t="s">
        <v>98</v>
      </c>
      <c r="H557" s="83" t="s">
        <v>118</v>
      </c>
      <c r="I557" s="85"/>
      <c r="J557" s="87">
        <f>I557*999</f>
        <v>0</v>
      </c>
      <c r="K557" s="86"/>
      <c r="L557" s="11"/>
    </row>
    <row r="558" spans="2:12" s="9" customFormat="1" ht="13.5" customHeight="1" x14ac:dyDescent="0.2">
      <c r="B558" s="10"/>
      <c r="C558" s="100" t="s">
        <v>669</v>
      </c>
      <c r="D558" s="82" t="s">
        <v>662</v>
      </c>
      <c r="E558" s="105" t="s">
        <v>25</v>
      </c>
      <c r="F558" s="87">
        <v>1004</v>
      </c>
      <c r="G558" s="85" t="s">
        <v>98</v>
      </c>
      <c r="H558" s="83" t="s">
        <v>118</v>
      </c>
      <c r="I558" s="85"/>
      <c r="J558" s="87">
        <f>I558*1004</f>
        <v>0</v>
      </c>
      <c r="K558" s="86"/>
      <c r="L558" s="11"/>
    </row>
    <row r="559" spans="2:12" s="9" customFormat="1" ht="13.5" customHeight="1" x14ac:dyDescent="0.2">
      <c r="B559" s="10"/>
      <c r="C559" s="100" t="s">
        <v>670</v>
      </c>
      <c r="D559" s="82" t="s">
        <v>662</v>
      </c>
      <c r="E559" s="105" t="s">
        <v>25</v>
      </c>
      <c r="F559" s="87">
        <v>1004</v>
      </c>
      <c r="G559" s="85" t="s">
        <v>98</v>
      </c>
      <c r="H559" s="83" t="s">
        <v>118</v>
      </c>
      <c r="I559" s="85"/>
      <c r="J559" s="87">
        <f>I559*1004</f>
        <v>0</v>
      </c>
      <c r="K559" s="86"/>
      <c r="L559" s="11"/>
    </row>
    <row r="560" spans="2:12" s="9" customFormat="1" ht="13.5" customHeight="1" x14ac:dyDescent="0.2">
      <c r="B560" s="10"/>
      <c r="C560" s="100" t="s">
        <v>671</v>
      </c>
      <c r="D560" s="82" t="s">
        <v>662</v>
      </c>
      <c r="E560" s="105" t="s">
        <v>413</v>
      </c>
      <c r="F560" s="87">
        <v>1007</v>
      </c>
      <c r="G560" s="85" t="s">
        <v>98</v>
      </c>
      <c r="H560" s="83" t="s">
        <v>118</v>
      </c>
      <c r="I560" s="85"/>
      <c r="J560" s="87">
        <f>I560*1007</f>
        <v>0</v>
      </c>
      <c r="K560" s="86"/>
      <c r="L560" s="11"/>
    </row>
    <row r="561" spans="2:12" s="9" customFormat="1" ht="13.5" customHeight="1" x14ac:dyDescent="0.2">
      <c r="B561" s="10"/>
      <c r="C561" s="100" t="s">
        <v>672</v>
      </c>
      <c r="D561" s="82" t="s">
        <v>662</v>
      </c>
      <c r="E561" s="105" t="s">
        <v>413</v>
      </c>
      <c r="F561" s="87">
        <v>1101</v>
      </c>
      <c r="G561" s="85" t="s">
        <v>98</v>
      </c>
      <c r="H561" s="83" t="s">
        <v>118</v>
      </c>
      <c r="I561" s="85"/>
      <c r="J561" s="87">
        <f>I561*1101</f>
        <v>0</v>
      </c>
      <c r="K561" s="86"/>
      <c r="L561" s="11"/>
    </row>
    <row r="562" spans="2:12" s="9" customFormat="1" ht="13.5" customHeight="1" x14ac:dyDescent="0.2">
      <c r="B562" s="10"/>
      <c r="C562" s="98" t="s">
        <v>673</v>
      </c>
      <c r="D562" s="70" t="s">
        <v>662</v>
      </c>
      <c r="E562" s="103" t="s">
        <v>587</v>
      </c>
      <c r="F562" s="75">
        <v>1125</v>
      </c>
      <c r="G562" s="73" t="s">
        <v>98</v>
      </c>
      <c r="H562" s="71" t="s">
        <v>118</v>
      </c>
      <c r="I562" s="73"/>
      <c r="J562" s="75">
        <f>I562*1125</f>
        <v>0</v>
      </c>
      <c r="K562" s="74"/>
      <c r="L562" s="11"/>
    </row>
    <row r="563" spans="2:12" s="9" customFormat="1" ht="13.5" customHeight="1" x14ac:dyDescent="0.2">
      <c r="B563" s="10"/>
      <c r="C563" s="98" t="s">
        <v>674</v>
      </c>
      <c r="D563" s="70" t="s">
        <v>662</v>
      </c>
      <c r="E563" s="103" t="s">
        <v>587</v>
      </c>
      <c r="F563" s="75">
        <v>1210</v>
      </c>
      <c r="G563" s="73" t="s">
        <v>98</v>
      </c>
      <c r="H563" s="71" t="s">
        <v>118</v>
      </c>
      <c r="I563" s="73"/>
      <c r="J563" s="75">
        <f>I563*1210</f>
        <v>0</v>
      </c>
      <c r="K563" s="74"/>
      <c r="L563" s="11"/>
    </row>
    <row r="564" spans="2:12" s="9" customFormat="1" ht="13.5" customHeight="1" x14ac:dyDescent="0.2">
      <c r="B564" s="10"/>
      <c r="C564" s="98" t="s">
        <v>675</v>
      </c>
      <c r="D564" s="70" t="s">
        <v>662</v>
      </c>
      <c r="E564" s="103" t="s">
        <v>158</v>
      </c>
      <c r="F564" s="75">
        <v>1240</v>
      </c>
      <c r="G564" s="73" t="s">
        <v>98</v>
      </c>
      <c r="H564" s="71" t="s">
        <v>118</v>
      </c>
      <c r="I564" s="73"/>
      <c r="J564" s="75">
        <f>I564*1240</f>
        <v>0</v>
      </c>
      <c r="K564" s="74"/>
      <c r="L564" s="11"/>
    </row>
    <row r="565" spans="2:12" s="9" customFormat="1" ht="13.5" customHeight="1" x14ac:dyDescent="0.2">
      <c r="B565" s="10"/>
      <c r="C565" s="98" t="s">
        <v>676</v>
      </c>
      <c r="D565" s="70" t="s">
        <v>662</v>
      </c>
      <c r="E565" s="103" t="s">
        <v>164</v>
      </c>
      <c r="F565" s="75">
        <v>1316</v>
      </c>
      <c r="G565" s="73" t="s">
        <v>98</v>
      </c>
      <c r="H565" s="71" t="s">
        <v>118</v>
      </c>
      <c r="I565" s="73"/>
      <c r="J565" s="75">
        <f>I565*1316</f>
        <v>0</v>
      </c>
      <c r="K565" s="74"/>
      <c r="L565" s="11"/>
    </row>
    <row r="566" spans="2:12" s="9" customFormat="1" ht="13.5" customHeight="1" x14ac:dyDescent="0.2">
      <c r="B566" s="10"/>
      <c r="C566" s="98" t="s">
        <v>677</v>
      </c>
      <c r="D566" s="70" t="s">
        <v>662</v>
      </c>
      <c r="E566" s="103" t="s">
        <v>164</v>
      </c>
      <c r="F566" s="75">
        <v>1316</v>
      </c>
      <c r="G566" s="73" t="s">
        <v>98</v>
      </c>
      <c r="H566" s="71" t="s">
        <v>118</v>
      </c>
      <c r="I566" s="73"/>
      <c r="J566" s="75">
        <f>I566*1316</f>
        <v>0</v>
      </c>
      <c r="K566" s="74"/>
      <c r="L566" s="11"/>
    </row>
    <row r="567" spans="2:12" s="9" customFormat="1" ht="13.5" customHeight="1" x14ac:dyDescent="0.2">
      <c r="B567" s="10"/>
      <c r="C567" s="98" t="s">
        <v>678</v>
      </c>
      <c r="D567" s="70" t="s">
        <v>662</v>
      </c>
      <c r="E567" s="103" t="s">
        <v>109</v>
      </c>
      <c r="F567" s="75">
        <v>1320</v>
      </c>
      <c r="G567" s="73" t="s">
        <v>98</v>
      </c>
      <c r="H567" s="71" t="s">
        <v>118</v>
      </c>
      <c r="I567" s="73"/>
      <c r="J567" s="75">
        <f>I567*1320</f>
        <v>0</v>
      </c>
      <c r="K567" s="74"/>
      <c r="L567" s="11"/>
    </row>
    <row r="568" spans="2:12" s="9" customFormat="1" ht="13.5" customHeight="1" x14ac:dyDescent="0.2">
      <c r="B568" s="10"/>
      <c r="C568" s="98" t="s">
        <v>679</v>
      </c>
      <c r="D568" s="70" t="s">
        <v>662</v>
      </c>
      <c r="E568" s="103" t="s">
        <v>109</v>
      </c>
      <c r="F568" s="75">
        <v>1320</v>
      </c>
      <c r="G568" s="73" t="s">
        <v>98</v>
      </c>
      <c r="H568" s="71" t="s">
        <v>118</v>
      </c>
      <c r="I568" s="73"/>
      <c r="J568" s="75">
        <f>I568*1320</f>
        <v>0</v>
      </c>
      <c r="K568" s="74"/>
      <c r="L568" s="11"/>
    </row>
    <row r="569" spans="2:12" s="9" customFormat="1" ht="13.5" customHeight="1" x14ac:dyDescent="0.2">
      <c r="B569" s="10"/>
      <c r="C569" s="98" t="s">
        <v>680</v>
      </c>
      <c r="D569" s="70" t="s">
        <v>662</v>
      </c>
      <c r="E569" s="103" t="s">
        <v>314</v>
      </c>
      <c r="F569" s="75">
        <v>1330</v>
      </c>
      <c r="G569" s="73" t="s">
        <v>98</v>
      </c>
      <c r="H569" s="71" t="s">
        <v>118</v>
      </c>
      <c r="I569" s="73"/>
      <c r="J569" s="75">
        <f>I569*1330</f>
        <v>0</v>
      </c>
      <c r="K569" s="74"/>
      <c r="L569" s="11"/>
    </row>
    <row r="570" spans="2:12" s="9" customFormat="1" ht="13.5" customHeight="1" x14ac:dyDescent="0.2">
      <c r="B570" s="10"/>
      <c r="C570" s="98" t="s">
        <v>681</v>
      </c>
      <c r="D570" s="70" t="s">
        <v>662</v>
      </c>
      <c r="E570" s="103" t="s">
        <v>164</v>
      </c>
      <c r="F570" s="75">
        <v>1382</v>
      </c>
      <c r="G570" s="73" t="s">
        <v>98</v>
      </c>
      <c r="H570" s="71" t="s">
        <v>118</v>
      </c>
      <c r="I570" s="73"/>
      <c r="J570" s="75">
        <f>I570*1382</f>
        <v>0</v>
      </c>
      <c r="K570" s="74"/>
      <c r="L570" s="11"/>
    </row>
    <row r="571" spans="2:12" s="9" customFormat="1" ht="13.5" customHeight="1" x14ac:dyDescent="0.2">
      <c r="B571" s="10"/>
      <c r="C571" s="98" t="s">
        <v>682</v>
      </c>
      <c r="D571" s="70" t="s">
        <v>662</v>
      </c>
      <c r="E571" s="103" t="s">
        <v>21</v>
      </c>
      <c r="F571" s="75">
        <v>1517</v>
      </c>
      <c r="G571" s="73" t="s">
        <v>98</v>
      </c>
      <c r="H571" s="71" t="s">
        <v>118</v>
      </c>
      <c r="I571" s="73"/>
      <c r="J571" s="75">
        <f>I571*1517</f>
        <v>0</v>
      </c>
      <c r="K571" s="74"/>
      <c r="L571" s="11"/>
    </row>
    <row r="572" spans="2:12" s="9" customFormat="1" ht="13.5" customHeight="1" x14ac:dyDescent="0.2">
      <c r="B572" s="10"/>
      <c r="C572" s="98" t="s">
        <v>683</v>
      </c>
      <c r="D572" s="70" t="s">
        <v>662</v>
      </c>
      <c r="E572" s="103" t="s">
        <v>21</v>
      </c>
      <c r="F572" s="75">
        <v>1535</v>
      </c>
      <c r="G572" s="73" t="s">
        <v>98</v>
      </c>
      <c r="H572" s="71" t="s">
        <v>118</v>
      </c>
      <c r="I572" s="73"/>
      <c r="J572" s="75">
        <f>I572*1535</f>
        <v>0</v>
      </c>
      <c r="K572" s="74"/>
      <c r="L572" s="11"/>
    </row>
    <row r="573" spans="2:12" s="9" customFormat="1" ht="13.5" customHeight="1" x14ac:dyDescent="0.2">
      <c r="B573" s="10"/>
      <c r="C573" s="98" t="s">
        <v>684</v>
      </c>
      <c r="D573" s="70" t="s">
        <v>662</v>
      </c>
      <c r="E573" s="103" t="s">
        <v>21</v>
      </c>
      <c r="F573" s="75">
        <v>1541</v>
      </c>
      <c r="G573" s="73" t="s">
        <v>98</v>
      </c>
      <c r="H573" s="71" t="s">
        <v>118</v>
      </c>
      <c r="I573" s="73"/>
      <c r="J573" s="75">
        <f>I573*1541</f>
        <v>0</v>
      </c>
      <c r="K573" s="74"/>
      <c r="L573" s="11"/>
    </row>
    <row r="574" spans="2:12" s="9" customFormat="1" ht="13.5" customHeight="1" x14ac:dyDescent="0.2">
      <c r="B574" s="10"/>
      <c r="C574" s="100" t="s">
        <v>685</v>
      </c>
      <c r="D574" s="82" t="s">
        <v>686</v>
      </c>
      <c r="E574" s="105" t="s">
        <v>299</v>
      </c>
      <c r="F574" s="84">
        <v>975</v>
      </c>
      <c r="G574" s="85" t="s">
        <v>98</v>
      </c>
      <c r="H574" s="83" t="s">
        <v>118</v>
      </c>
      <c r="I574" s="85"/>
      <c r="J574" s="87">
        <f>I574*975</f>
        <v>0</v>
      </c>
      <c r="K574" s="86"/>
      <c r="L574" s="11"/>
    </row>
    <row r="575" spans="2:12" s="9" customFormat="1" ht="13.5" customHeight="1" x14ac:dyDescent="0.2">
      <c r="B575" s="10"/>
      <c r="C575" s="100" t="s">
        <v>687</v>
      </c>
      <c r="D575" s="82" t="s">
        <v>686</v>
      </c>
      <c r="E575" s="105" t="s">
        <v>413</v>
      </c>
      <c r="F575" s="87">
        <v>1017</v>
      </c>
      <c r="G575" s="85" t="s">
        <v>98</v>
      </c>
      <c r="H575" s="83" t="s">
        <v>118</v>
      </c>
      <c r="I575" s="85"/>
      <c r="J575" s="87">
        <f>I575*1017</f>
        <v>0</v>
      </c>
      <c r="K575" s="86"/>
      <c r="L575" s="11"/>
    </row>
    <row r="576" spans="2:12" s="9" customFormat="1" ht="13.5" customHeight="1" x14ac:dyDescent="0.2">
      <c r="B576" s="10"/>
      <c r="C576" s="100" t="s">
        <v>688</v>
      </c>
      <c r="D576" s="82" t="s">
        <v>686</v>
      </c>
      <c r="E576" s="105" t="s">
        <v>25</v>
      </c>
      <c r="F576" s="87">
        <v>1167</v>
      </c>
      <c r="G576" s="85" t="s">
        <v>98</v>
      </c>
      <c r="H576" s="83" t="s">
        <v>118</v>
      </c>
      <c r="I576" s="85"/>
      <c r="J576" s="87">
        <f>I576*1167</f>
        <v>0</v>
      </c>
      <c r="K576" s="86"/>
      <c r="L576" s="11"/>
    </row>
    <row r="577" spans="2:12" s="9" customFormat="1" ht="13.5" customHeight="1" x14ac:dyDescent="0.2">
      <c r="B577" s="10"/>
      <c r="C577" s="98" t="s">
        <v>689</v>
      </c>
      <c r="D577" s="70" t="s">
        <v>686</v>
      </c>
      <c r="E577" s="103" t="s">
        <v>109</v>
      </c>
      <c r="F577" s="75">
        <v>1350</v>
      </c>
      <c r="G577" s="73" t="s">
        <v>98</v>
      </c>
      <c r="H577" s="71" t="s">
        <v>118</v>
      </c>
      <c r="I577" s="73"/>
      <c r="J577" s="75">
        <f>I577*1350</f>
        <v>0</v>
      </c>
      <c r="K577" s="74"/>
      <c r="L577" s="11"/>
    </row>
    <row r="578" spans="2:12" s="9" customFormat="1" ht="13.5" customHeight="1" x14ac:dyDescent="0.2">
      <c r="B578" s="10"/>
      <c r="C578" s="98" t="s">
        <v>690</v>
      </c>
      <c r="D578" s="70" t="s">
        <v>686</v>
      </c>
      <c r="E578" s="103" t="s">
        <v>164</v>
      </c>
      <c r="F578" s="75">
        <v>1399</v>
      </c>
      <c r="G578" s="73" t="s">
        <v>98</v>
      </c>
      <c r="H578" s="71" t="s">
        <v>118</v>
      </c>
      <c r="I578" s="73"/>
      <c r="J578" s="75">
        <f>I578*1399</f>
        <v>0</v>
      </c>
      <c r="K578" s="74"/>
      <c r="L578" s="11"/>
    </row>
    <row r="579" spans="2:12" s="9" customFormat="1" ht="13.5" customHeight="1" x14ac:dyDescent="0.2">
      <c r="B579" s="10"/>
      <c r="C579" s="98" t="s">
        <v>691</v>
      </c>
      <c r="D579" s="70" t="s">
        <v>686</v>
      </c>
      <c r="E579" s="103" t="s">
        <v>587</v>
      </c>
      <c r="F579" s="75">
        <v>1399</v>
      </c>
      <c r="G579" s="73" t="s">
        <v>98</v>
      </c>
      <c r="H579" s="71" t="s">
        <v>118</v>
      </c>
      <c r="I579" s="73"/>
      <c r="J579" s="75">
        <f>I579*1399</f>
        <v>0</v>
      </c>
      <c r="K579" s="74"/>
      <c r="L579" s="11"/>
    </row>
    <row r="580" spans="2:12" s="9" customFormat="1" ht="13.5" customHeight="1" x14ac:dyDescent="0.2">
      <c r="B580" s="10"/>
      <c r="C580" s="98" t="s">
        <v>692</v>
      </c>
      <c r="D580" s="70" t="s">
        <v>686</v>
      </c>
      <c r="E580" s="103" t="s">
        <v>587</v>
      </c>
      <c r="F580" s="75">
        <v>1399</v>
      </c>
      <c r="G580" s="73" t="s">
        <v>98</v>
      </c>
      <c r="H580" s="71" t="s">
        <v>118</v>
      </c>
      <c r="I580" s="73"/>
      <c r="J580" s="75">
        <f>I580*1399</f>
        <v>0</v>
      </c>
      <c r="K580" s="74"/>
      <c r="L580" s="11"/>
    </row>
    <row r="581" spans="2:12" s="9" customFormat="1" ht="13.5" customHeight="1" x14ac:dyDescent="0.2">
      <c r="B581" s="10"/>
      <c r="C581" s="98" t="s">
        <v>693</v>
      </c>
      <c r="D581" s="70" t="s">
        <v>686</v>
      </c>
      <c r="E581" s="103" t="s">
        <v>158</v>
      </c>
      <c r="F581" s="75">
        <v>1420</v>
      </c>
      <c r="G581" s="73" t="s">
        <v>98</v>
      </c>
      <c r="H581" s="71" t="s">
        <v>118</v>
      </c>
      <c r="I581" s="73"/>
      <c r="J581" s="75">
        <f>I581*1420</f>
        <v>0</v>
      </c>
      <c r="K581" s="74"/>
      <c r="L581" s="11"/>
    </row>
    <row r="582" spans="2:12" s="9" customFormat="1" ht="13.5" customHeight="1" x14ac:dyDescent="0.2">
      <c r="B582" s="10"/>
      <c r="C582" s="98" t="s">
        <v>694</v>
      </c>
      <c r="D582" s="70" t="s">
        <v>686</v>
      </c>
      <c r="E582" s="103" t="s">
        <v>158</v>
      </c>
      <c r="F582" s="75">
        <v>1420</v>
      </c>
      <c r="G582" s="73" t="s">
        <v>98</v>
      </c>
      <c r="H582" s="71" t="s">
        <v>118</v>
      </c>
      <c r="I582" s="73"/>
      <c r="J582" s="75">
        <f>I582*1420</f>
        <v>0</v>
      </c>
      <c r="K582" s="74"/>
      <c r="L582" s="11"/>
    </row>
    <row r="583" spans="2:12" s="9" customFormat="1" ht="13.5" customHeight="1" x14ac:dyDescent="0.2">
      <c r="B583" s="10"/>
      <c r="C583" s="98" t="s">
        <v>695</v>
      </c>
      <c r="D583" s="70" t="s">
        <v>686</v>
      </c>
      <c r="E583" s="103" t="s">
        <v>587</v>
      </c>
      <c r="F583" s="75">
        <v>1465</v>
      </c>
      <c r="G583" s="73" t="s">
        <v>98</v>
      </c>
      <c r="H583" s="71" t="s">
        <v>118</v>
      </c>
      <c r="I583" s="73"/>
      <c r="J583" s="75">
        <f>I583*1465</f>
        <v>0</v>
      </c>
      <c r="K583" s="74"/>
      <c r="L583" s="11"/>
    </row>
    <row r="584" spans="2:12" s="9" customFormat="1" ht="13.5" customHeight="1" x14ac:dyDescent="0.2">
      <c r="B584" s="10"/>
      <c r="C584" s="98" t="s">
        <v>696</v>
      </c>
      <c r="D584" s="70" t="s">
        <v>686</v>
      </c>
      <c r="E584" s="103" t="s">
        <v>109</v>
      </c>
      <c r="F584" s="75">
        <v>1525</v>
      </c>
      <c r="G584" s="73" t="s">
        <v>98</v>
      </c>
      <c r="H584" s="71" t="s">
        <v>118</v>
      </c>
      <c r="I584" s="73"/>
      <c r="J584" s="75">
        <f>I584*1525</f>
        <v>0</v>
      </c>
      <c r="K584" s="74"/>
      <c r="L584" s="11"/>
    </row>
    <row r="585" spans="2:12" s="9" customFormat="1" ht="13.5" customHeight="1" x14ac:dyDescent="0.2">
      <c r="B585" s="10"/>
      <c r="C585" s="98" t="s">
        <v>697</v>
      </c>
      <c r="D585" s="70" t="s">
        <v>686</v>
      </c>
      <c r="E585" s="103" t="s">
        <v>587</v>
      </c>
      <c r="F585" s="75">
        <v>1565</v>
      </c>
      <c r="G585" s="73" t="s">
        <v>98</v>
      </c>
      <c r="H585" s="71" t="s">
        <v>118</v>
      </c>
      <c r="I585" s="73"/>
      <c r="J585" s="75">
        <f>I585*1565</f>
        <v>0</v>
      </c>
      <c r="K585" s="74"/>
      <c r="L585" s="11"/>
    </row>
    <row r="586" spans="2:12" s="9" customFormat="1" ht="13.5" customHeight="1" x14ac:dyDescent="0.2">
      <c r="B586" s="10"/>
      <c r="C586" s="98" t="s">
        <v>698</v>
      </c>
      <c r="D586" s="70" t="s">
        <v>686</v>
      </c>
      <c r="E586" s="103" t="s">
        <v>164</v>
      </c>
      <c r="F586" s="75">
        <v>1580</v>
      </c>
      <c r="G586" s="73" t="s">
        <v>98</v>
      </c>
      <c r="H586" s="71" t="s">
        <v>118</v>
      </c>
      <c r="I586" s="73"/>
      <c r="J586" s="75">
        <f>I586*1580</f>
        <v>0</v>
      </c>
      <c r="K586" s="74"/>
      <c r="L586" s="11"/>
    </row>
    <row r="587" spans="2:12" s="9" customFormat="1" ht="13.5" customHeight="1" x14ac:dyDescent="0.2">
      <c r="B587" s="10"/>
      <c r="C587" s="98" t="s">
        <v>699</v>
      </c>
      <c r="D587" s="70" t="s">
        <v>686</v>
      </c>
      <c r="E587" s="103" t="s">
        <v>109</v>
      </c>
      <c r="F587" s="75">
        <v>1590</v>
      </c>
      <c r="G587" s="73" t="s">
        <v>98</v>
      </c>
      <c r="H587" s="71" t="s">
        <v>118</v>
      </c>
      <c r="I587" s="73"/>
      <c r="J587" s="75">
        <f>I587*1590</f>
        <v>0</v>
      </c>
      <c r="K587" s="74"/>
      <c r="L587" s="11"/>
    </row>
    <row r="588" spans="2:12" s="9" customFormat="1" ht="13.5" customHeight="1" x14ac:dyDescent="0.2">
      <c r="B588" s="10"/>
      <c r="C588" s="98" t="s">
        <v>700</v>
      </c>
      <c r="D588" s="70" t="s">
        <v>686</v>
      </c>
      <c r="E588" s="103" t="s">
        <v>21</v>
      </c>
      <c r="F588" s="75">
        <v>1756</v>
      </c>
      <c r="G588" s="73" t="s">
        <v>98</v>
      </c>
      <c r="H588" s="71" t="s">
        <v>118</v>
      </c>
      <c r="I588" s="73"/>
      <c r="J588" s="75">
        <f>I588*1756</f>
        <v>0</v>
      </c>
      <c r="K588" s="74"/>
      <c r="L588" s="11"/>
    </row>
    <row r="589" spans="2:12" s="9" customFormat="1" ht="13.5" customHeight="1" x14ac:dyDescent="0.2">
      <c r="B589" s="10"/>
      <c r="C589" s="98" t="s">
        <v>701</v>
      </c>
      <c r="D589" s="70" t="s">
        <v>686</v>
      </c>
      <c r="E589" s="103" t="s">
        <v>21</v>
      </c>
      <c r="F589" s="75">
        <v>1791</v>
      </c>
      <c r="G589" s="73" t="s">
        <v>98</v>
      </c>
      <c r="H589" s="71" t="s">
        <v>118</v>
      </c>
      <c r="I589" s="73"/>
      <c r="J589" s="75">
        <f>I589*1791</f>
        <v>0</v>
      </c>
      <c r="K589" s="74"/>
      <c r="L589" s="11"/>
    </row>
    <row r="590" spans="2:12" s="9" customFormat="1" ht="13.5" customHeight="1" x14ac:dyDescent="0.2">
      <c r="B590" s="10"/>
      <c r="C590" s="100" t="s">
        <v>702</v>
      </c>
      <c r="D590" s="82" t="s">
        <v>703</v>
      </c>
      <c r="E590" s="105" t="s">
        <v>25</v>
      </c>
      <c r="F590" s="87">
        <v>1230</v>
      </c>
      <c r="G590" s="85" t="s">
        <v>98</v>
      </c>
      <c r="H590" s="83" t="s">
        <v>118</v>
      </c>
      <c r="I590" s="85"/>
      <c r="J590" s="87">
        <f>I590*1230</f>
        <v>0</v>
      </c>
      <c r="K590" s="86"/>
      <c r="L590" s="11"/>
    </row>
    <row r="591" spans="2:12" s="9" customFormat="1" ht="13.5" customHeight="1" x14ac:dyDescent="0.2">
      <c r="B591" s="10"/>
      <c r="C591" s="100" t="s">
        <v>704</v>
      </c>
      <c r="D591" s="82" t="s">
        <v>703</v>
      </c>
      <c r="E591" s="105" t="s">
        <v>25</v>
      </c>
      <c r="F591" s="87">
        <v>1285</v>
      </c>
      <c r="G591" s="85" t="s">
        <v>98</v>
      </c>
      <c r="H591" s="83" t="s">
        <v>118</v>
      </c>
      <c r="I591" s="85"/>
      <c r="J591" s="87">
        <f>I591*1285</f>
        <v>0</v>
      </c>
      <c r="K591" s="86"/>
      <c r="L591" s="11"/>
    </row>
    <row r="592" spans="2:12" s="9" customFormat="1" ht="13.5" customHeight="1" x14ac:dyDescent="0.2">
      <c r="B592" s="10"/>
      <c r="C592" s="100" t="s">
        <v>705</v>
      </c>
      <c r="D592" s="82" t="s">
        <v>703</v>
      </c>
      <c r="E592" s="105" t="s">
        <v>25</v>
      </c>
      <c r="F592" s="87">
        <v>1285</v>
      </c>
      <c r="G592" s="85" t="s">
        <v>98</v>
      </c>
      <c r="H592" s="83" t="s">
        <v>118</v>
      </c>
      <c r="I592" s="85"/>
      <c r="J592" s="87">
        <f>I592*1285</f>
        <v>0</v>
      </c>
      <c r="K592" s="86"/>
      <c r="L592" s="11"/>
    </row>
    <row r="593" spans="2:12" s="9" customFormat="1" ht="13.5" customHeight="1" x14ac:dyDescent="0.2">
      <c r="B593" s="10"/>
      <c r="C593" s="98" t="s">
        <v>706</v>
      </c>
      <c r="D593" s="70" t="s">
        <v>703</v>
      </c>
      <c r="E593" s="103" t="s">
        <v>164</v>
      </c>
      <c r="F593" s="75">
        <v>1477</v>
      </c>
      <c r="G593" s="73" t="s">
        <v>98</v>
      </c>
      <c r="H593" s="71" t="s">
        <v>118</v>
      </c>
      <c r="I593" s="73"/>
      <c r="J593" s="75">
        <f>I593*1477</f>
        <v>0</v>
      </c>
      <c r="K593" s="74"/>
      <c r="L593" s="11"/>
    </row>
    <row r="594" spans="2:12" s="9" customFormat="1" ht="13.5" customHeight="1" x14ac:dyDescent="0.2">
      <c r="B594" s="10"/>
      <c r="C594" s="98" t="s">
        <v>707</v>
      </c>
      <c r="D594" s="70" t="s">
        <v>703</v>
      </c>
      <c r="E594" s="103" t="s">
        <v>314</v>
      </c>
      <c r="F594" s="75">
        <v>1606</v>
      </c>
      <c r="G594" s="73" t="s">
        <v>98</v>
      </c>
      <c r="H594" s="71" t="s">
        <v>118</v>
      </c>
      <c r="I594" s="73"/>
      <c r="J594" s="75">
        <f>I594*1606</f>
        <v>0</v>
      </c>
      <c r="K594" s="74"/>
      <c r="L594" s="11"/>
    </row>
    <row r="595" spans="2:12" s="9" customFormat="1" ht="13.5" customHeight="1" x14ac:dyDescent="0.2">
      <c r="B595" s="10"/>
      <c r="C595" s="99" t="s">
        <v>708</v>
      </c>
      <c r="D595" s="76" t="s">
        <v>703</v>
      </c>
      <c r="E595" s="104" t="s">
        <v>587</v>
      </c>
      <c r="F595" s="81">
        <v>1750</v>
      </c>
      <c r="G595" s="79" t="s">
        <v>98</v>
      </c>
      <c r="H595" s="77" t="s">
        <v>118</v>
      </c>
      <c r="I595" s="79"/>
      <c r="J595" s="81">
        <f>I595*1750</f>
        <v>0</v>
      </c>
      <c r="K595" s="80"/>
      <c r="L595" s="11"/>
    </row>
    <row r="596" spans="2:12" s="9" customFormat="1" ht="13.5" customHeight="1" x14ac:dyDescent="0.2">
      <c r="B596" s="10"/>
      <c r="C596" s="98" t="s">
        <v>709</v>
      </c>
      <c r="D596" s="70" t="s">
        <v>703</v>
      </c>
      <c r="E596" s="103" t="s">
        <v>587</v>
      </c>
      <c r="F596" s="75">
        <v>1785</v>
      </c>
      <c r="G596" s="73" t="s">
        <v>98</v>
      </c>
      <c r="H596" s="71" t="s">
        <v>118</v>
      </c>
      <c r="I596" s="73"/>
      <c r="J596" s="75">
        <f>I596*1785</f>
        <v>0</v>
      </c>
      <c r="K596" s="74"/>
      <c r="L596" s="11"/>
    </row>
    <row r="597" spans="2:12" s="9" customFormat="1" ht="13.5" customHeight="1" x14ac:dyDescent="0.2">
      <c r="B597" s="10"/>
      <c r="C597" s="99" t="s">
        <v>710</v>
      </c>
      <c r="D597" s="76" t="s">
        <v>478</v>
      </c>
      <c r="E597" s="104" t="s">
        <v>109</v>
      </c>
      <c r="F597" s="81">
        <v>2135</v>
      </c>
      <c r="G597" s="79" t="s">
        <v>98</v>
      </c>
      <c r="H597" s="77" t="s">
        <v>118</v>
      </c>
      <c r="I597" s="79"/>
      <c r="J597" s="81">
        <f>I597*2135</f>
        <v>0</v>
      </c>
      <c r="K597" s="80"/>
      <c r="L597" s="11"/>
    </row>
    <row r="598" spans="2:12" s="9" customFormat="1" ht="13.5" customHeight="1" x14ac:dyDescent="0.2">
      <c r="B598" s="10"/>
      <c r="C598" s="100" t="s">
        <v>711</v>
      </c>
      <c r="D598" s="82" t="s">
        <v>712</v>
      </c>
      <c r="E598" s="105" t="s">
        <v>299</v>
      </c>
      <c r="F598" s="87">
        <v>1404</v>
      </c>
      <c r="G598" s="85" t="s">
        <v>98</v>
      </c>
      <c r="H598" s="83" t="s">
        <v>118</v>
      </c>
      <c r="I598" s="85"/>
      <c r="J598" s="87">
        <f>I598*1404</f>
        <v>0</v>
      </c>
      <c r="K598" s="86"/>
      <c r="L598" s="11"/>
    </row>
    <row r="599" spans="2:12" s="9" customFormat="1" ht="13.5" customHeight="1" x14ac:dyDescent="0.2">
      <c r="B599" s="10"/>
      <c r="C599" s="100" t="s">
        <v>713</v>
      </c>
      <c r="D599" s="82" t="s">
        <v>712</v>
      </c>
      <c r="E599" s="105" t="s">
        <v>299</v>
      </c>
      <c r="F599" s="87">
        <v>1417</v>
      </c>
      <c r="G599" s="85" t="s">
        <v>98</v>
      </c>
      <c r="H599" s="83" t="s">
        <v>118</v>
      </c>
      <c r="I599" s="85"/>
      <c r="J599" s="87">
        <f>I599*1417</f>
        <v>0</v>
      </c>
      <c r="K599" s="86"/>
      <c r="L599" s="11"/>
    </row>
    <row r="600" spans="2:12" s="9" customFormat="1" ht="13.5" customHeight="1" x14ac:dyDescent="0.2">
      <c r="B600" s="10"/>
      <c r="C600" s="100" t="s">
        <v>714</v>
      </c>
      <c r="D600" s="82" t="s">
        <v>712</v>
      </c>
      <c r="E600" s="105" t="s">
        <v>299</v>
      </c>
      <c r="F600" s="87">
        <v>1417</v>
      </c>
      <c r="G600" s="85" t="s">
        <v>98</v>
      </c>
      <c r="H600" s="83" t="s">
        <v>118</v>
      </c>
      <c r="I600" s="85"/>
      <c r="J600" s="87">
        <f>I600*1417</f>
        <v>0</v>
      </c>
      <c r="K600" s="86"/>
      <c r="L600" s="11"/>
    </row>
    <row r="601" spans="2:12" s="9" customFormat="1" ht="13.5" customHeight="1" x14ac:dyDescent="0.2">
      <c r="B601" s="10"/>
      <c r="C601" s="100" t="s">
        <v>715</v>
      </c>
      <c r="D601" s="82" t="s">
        <v>712</v>
      </c>
      <c r="E601" s="105" t="s">
        <v>25</v>
      </c>
      <c r="F601" s="87">
        <v>1444</v>
      </c>
      <c r="G601" s="85" t="s">
        <v>98</v>
      </c>
      <c r="H601" s="83" t="s">
        <v>118</v>
      </c>
      <c r="I601" s="85"/>
      <c r="J601" s="87">
        <f>I601*1444</f>
        <v>0</v>
      </c>
      <c r="K601" s="86"/>
      <c r="L601" s="11"/>
    </row>
    <row r="602" spans="2:12" s="9" customFormat="1" ht="13.5" customHeight="1" x14ac:dyDescent="0.2">
      <c r="B602" s="10"/>
      <c r="C602" s="100" t="s">
        <v>716</v>
      </c>
      <c r="D602" s="82" t="s">
        <v>712</v>
      </c>
      <c r="E602" s="105" t="s">
        <v>299</v>
      </c>
      <c r="F602" s="87">
        <v>1445</v>
      </c>
      <c r="G602" s="85" t="s">
        <v>98</v>
      </c>
      <c r="H602" s="83" t="s">
        <v>118</v>
      </c>
      <c r="I602" s="85"/>
      <c r="J602" s="87">
        <f>I602*1445</f>
        <v>0</v>
      </c>
      <c r="K602" s="86"/>
      <c r="L602" s="11"/>
    </row>
    <row r="603" spans="2:12" s="9" customFormat="1" ht="13.5" customHeight="1" x14ac:dyDescent="0.2">
      <c r="B603" s="10"/>
      <c r="C603" s="100" t="s">
        <v>717</v>
      </c>
      <c r="D603" s="82" t="s">
        <v>712</v>
      </c>
      <c r="E603" s="105" t="s">
        <v>413</v>
      </c>
      <c r="F603" s="87">
        <v>1487.7</v>
      </c>
      <c r="G603" s="85" t="s">
        <v>98</v>
      </c>
      <c r="H603" s="83" t="s">
        <v>118</v>
      </c>
      <c r="I603" s="85"/>
      <c r="J603" s="87">
        <f>I603*1487.7</f>
        <v>0</v>
      </c>
      <c r="K603" s="86"/>
      <c r="L603" s="11"/>
    </row>
    <row r="604" spans="2:12" s="9" customFormat="1" ht="13.5" customHeight="1" x14ac:dyDescent="0.2">
      <c r="B604" s="10"/>
      <c r="C604" s="100" t="s">
        <v>718</v>
      </c>
      <c r="D604" s="82" t="s">
        <v>712</v>
      </c>
      <c r="E604" s="105" t="s">
        <v>25</v>
      </c>
      <c r="F604" s="87">
        <v>1550</v>
      </c>
      <c r="G604" s="85" t="s">
        <v>98</v>
      </c>
      <c r="H604" s="83" t="s">
        <v>118</v>
      </c>
      <c r="I604" s="85"/>
      <c r="J604" s="87">
        <f>I604*1550</f>
        <v>0</v>
      </c>
      <c r="K604" s="86"/>
      <c r="L604" s="11"/>
    </row>
    <row r="605" spans="2:12" s="9" customFormat="1" ht="13.5" customHeight="1" x14ac:dyDescent="0.2">
      <c r="B605" s="10"/>
      <c r="C605" s="100" t="s">
        <v>719</v>
      </c>
      <c r="D605" s="82" t="s">
        <v>712</v>
      </c>
      <c r="E605" s="105" t="s">
        <v>25</v>
      </c>
      <c r="F605" s="87">
        <v>1553</v>
      </c>
      <c r="G605" s="85" t="s">
        <v>98</v>
      </c>
      <c r="H605" s="83" t="s">
        <v>118</v>
      </c>
      <c r="I605" s="85"/>
      <c r="J605" s="87">
        <f>I605*1553</f>
        <v>0</v>
      </c>
      <c r="K605" s="86"/>
      <c r="L605" s="11"/>
    </row>
    <row r="606" spans="2:12" s="9" customFormat="1" ht="13.5" customHeight="1" x14ac:dyDescent="0.2">
      <c r="B606" s="10"/>
      <c r="C606" s="100" t="s">
        <v>720</v>
      </c>
      <c r="D606" s="82" t="s">
        <v>712</v>
      </c>
      <c r="E606" s="105" t="s">
        <v>25</v>
      </c>
      <c r="F606" s="87">
        <v>1553</v>
      </c>
      <c r="G606" s="85" t="s">
        <v>98</v>
      </c>
      <c r="H606" s="83" t="s">
        <v>118</v>
      </c>
      <c r="I606" s="85"/>
      <c r="J606" s="87">
        <f>I606*1553</f>
        <v>0</v>
      </c>
      <c r="K606" s="86"/>
      <c r="L606" s="11"/>
    </row>
    <row r="607" spans="2:12" s="9" customFormat="1" ht="13.5" customHeight="1" x14ac:dyDescent="0.2">
      <c r="B607" s="10"/>
      <c r="C607" s="100" t="s">
        <v>721</v>
      </c>
      <c r="D607" s="82" t="s">
        <v>712</v>
      </c>
      <c r="E607" s="105" t="s">
        <v>413</v>
      </c>
      <c r="F607" s="87">
        <v>1643</v>
      </c>
      <c r="G607" s="85" t="s">
        <v>98</v>
      </c>
      <c r="H607" s="83" t="s">
        <v>118</v>
      </c>
      <c r="I607" s="85"/>
      <c r="J607" s="87">
        <f>I607*1643</f>
        <v>0</v>
      </c>
      <c r="K607" s="86"/>
      <c r="L607" s="11"/>
    </row>
    <row r="608" spans="2:12" s="9" customFormat="1" ht="13.5" customHeight="1" x14ac:dyDescent="0.2">
      <c r="B608" s="10"/>
      <c r="C608" s="100" t="s">
        <v>722</v>
      </c>
      <c r="D608" s="82" t="s">
        <v>712</v>
      </c>
      <c r="E608" s="105" t="s">
        <v>413</v>
      </c>
      <c r="F608" s="87">
        <v>1676</v>
      </c>
      <c r="G608" s="85" t="s">
        <v>98</v>
      </c>
      <c r="H608" s="83" t="s">
        <v>118</v>
      </c>
      <c r="I608" s="85"/>
      <c r="J608" s="87">
        <f>I608*1676</f>
        <v>0</v>
      </c>
      <c r="K608" s="86"/>
      <c r="L608" s="11"/>
    </row>
    <row r="609" spans="2:12" s="9" customFormat="1" ht="13.5" customHeight="1" x14ac:dyDescent="0.2">
      <c r="B609" s="10"/>
      <c r="C609" s="98" t="s">
        <v>723</v>
      </c>
      <c r="D609" s="70" t="s">
        <v>712</v>
      </c>
      <c r="E609" s="103" t="s">
        <v>587</v>
      </c>
      <c r="F609" s="75">
        <v>1775</v>
      </c>
      <c r="G609" s="73" t="s">
        <v>98</v>
      </c>
      <c r="H609" s="71" t="s">
        <v>118</v>
      </c>
      <c r="I609" s="73"/>
      <c r="J609" s="75">
        <f>I609*1775</f>
        <v>0</v>
      </c>
      <c r="K609" s="74"/>
      <c r="L609" s="11"/>
    </row>
    <row r="610" spans="2:12" s="9" customFormat="1" ht="13.5" customHeight="1" x14ac:dyDescent="0.2">
      <c r="B610" s="10"/>
      <c r="C610" s="98" t="s">
        <v>724</v>
      </c>
      <c r="D610" s="70" t="s">
        <v>712</v>
      </c>
      <c r="E610" s="103" t="s">
        <v>587</v>
      </c>
      <c r="F610" s="75">
        <v>1775</v>
      </c>
      <c r="G610" s="73" t="s">
        <v>98</v>
      </c>
      <c r="H610" s="71" t="s">
        <v>118</v>
      </c>
      <c r="I610" s="73"/>
      <c r="J610" s="75">
        <f>I610*1775</f>
        <v>0</v>
      </c>
      <c r="K610" s="74"/>
      <c r="L610" s="11"/>
    </row>
    <row r="611" spans="2:12" s="9" customFormat="1" ht="13.5" customHeight="1" x14ac:dyDescent="0.2">
      <c r="B611" s="10"/>
      <c r="C611" s="98" t="s">
        <v>725</v>
      </c>
      <c r="D611" s="70" t="s">
        <v>712</v>
      </c>
      <c r="E611" s="103" t="s">
        <v>413</v>
      </c>
      <c r="F611" s="75">
        <v>1778</v>
      </c>
      <c r="G611" s="73" t="s">
        <v>98</v>
      </c>
      <c r="H611" s="71" t="s">
        <v>118</v>
      </c>
      <c r="I611" s="73"/>
      <c r="J611" s="75">
        <f>I611*1778</f>
        <v>0</v>
      </c>
      <c r="K611" s="74"/>
      <c r="L611" s="11"/>
    </row>
    <row r="612" spans="2:12" s="9" customFormat="1" ht="13.5" customHeight="1" x14ac:dyDescent="0.2">
      <c r="B612" s="10"/>
      <c r="C612" s="98" t="s">
        <v>726</v>
      </c>
      <c r="D612" s="70" t="s">
        <v>712</v>
      </c>
      <c r="E612" s="103" t="s">
        <v>158</v>
      </c>
      <c r="F612" s="75">
        <v>1799</v>
      </c>
      <c r="G612" s="73" t="s">
        <v>98</v>
      </c>
      <c r="H612" s="71" t="s">
        <v>118</v>
      </c>
      <c r="I612" s="73"/>
      <c r="J612" s="75">
        <f>I612*1799</f>
        <v>0</v>
      </c>
      <c r="K612" s="74"/>
      <c r="L612" s="11"/>
    </row>
    <row r="613" spans="2:12" s="9" customFormat="1" ht="13.5" customHeight="1" x14ac:dyDescent="0.2">
      <c r="B613" s="10"/>
      <c r="C613" s="98" t="s">
        <v>727</v>
      </c>
      <c r="D613" s="70" t="s">
        <v>712</v>
      </c>
      <c r="E613" s="103" t="s">
        <v>158</v>
      </c>
      <c r="F613" s="75">
        <v>1850</v>
      </c>
      <c r="G613" s="73" t="s">
        <v>98</v>
      </c>
      <c r="H613" s="71" t="s">
        <v>118</v>
      </c>
      <c r="I613" s="73"/>
      <c r="J613" s="75">
        <f>I613*1850</f>
        <v>0</v>
      </c>
      <c r="K613" s="74"/>
      <c r="L613" s="11"/>
    </row>
    <row r="614" spans="2:12" s="9" customFormat="1" ht="13.5" customHeight="1" x14ac:dyDescent="0.2">
      <c r="B614" s="10"/>
      <c r="C614" s="98" t="s">
        <v>728</v>
      </c>
      <c r="D614" s="70" t="s">
        <v>712</v>
      </c>
      <c r="E614" s="103" t="s">
        <v>158</v>
      </c>
      <c r="F614" s="75">
        <v>1850</v>
      </c>
      <c r="G614" s="73" t="s">
        <v>98</v>
      </c>
      <c r="H614" s="71" t="s">
        <v>118</v>
      </c>
      <c r="I614" s="73"/>
      <c r="J614" s="75">
        <f>I614*1850</f>
        <v>0</v>
      </c>
      <c r="K614" s="74"/>
      <c r="L614" s="11"/>
    </row>
    <row r="615" spans="2:12" s="9" customFormat="1" ht="13.5" customHeight="1" x14ac:dyDescent="0.2">
      <c r="B615" s="10"/>
      <c r="C615" s="98" t="s">
        <v>729</v>
      </c>
      <c r="D615" s="70" t="s">
        <v>712</v>
      </c>
      <c r="E615" s="103" t="s">
        <v>164</v>
      </c>
      <c r="F615" s="75">
        <v>1889</v>
      </c>
      <c r="G615" s="73" t="s">
        <v>98</v>
      </c>
      <c r="H615" s="71" t="s">
        <v>118</v>
      </c>
      <c r="I615" s="73"/>
      <c r="J615" s="75">
        <f>I615*1889</f>
        <v>0</v>
      </c>
      <c r="K615" s="74"/>
      <c r="L615" s="11"/>
    </row>
    <row r="616" spans="2:12" s="9" customFormat="1" ht="13.5" customHeight="1" x14ac:dyDescent="0.2">
      <c r="B616" s="10"/>
      <c r="C616" s="98" t="s">
        <v>730</v>
      </c>
      <c r="D616" s="70" t="s">
        <v>712</v>
      </c>
      <c r="E616" s="103" t="s">
        <v>164</v>
      </c>
      <c r="F616" s="75">
        <v>1889</v>
      </c>
      <c r="G616" s="73" t="s">
        <v>98</v>
      </c>
      <c r="H616" s="71" t="s">
        <v>118</v>
      </c>
      <c r="I616" s="73"/>
      <c r="J616" s="75">
        <f>I616*1889</f>
        <v>0</v>
      </c>
      <c r="K616" s="74"/>
      <c r="L616" s="11"/>
    </row>
    <row r="617" spans="2:12" s="9" customFormat="1" ht="13.5" customHeight="1" x14ac:dyDescent="0.2">
      <c r="B617" s="10"/>
      <c r="C617" s="98" t="s">
        <v>731</v>
      </c>
      <c r="D617" s="70" t="s">
        <v>712</v>
      </c>
      <c r="E617" s="103" t="s">
        <v>587</v>
      </c>
      <c r="F617" s="75">
        <v>1890</v>
      </c>
      <c r="G617" s="73" t="s">
        <v>98</v>
      </c>
      <c r="H617" s="71" t="s">
        <v>118</v>
      </c>
      <c r="I617" s="73"/>
      <c r="J617" s="75">
        <f>I617*1890</f>
        <v>0</v>
      </c>
      <c r="K617" s="74"/>
      <c r="L617" s="11"/>
    </row>
    <row r="618" spans="2:12" s="9" customFormat="1" ht="13.5" customHeight="1" x14ac:dyDescent="0.2">
      <c r="B618" s="10"/>
      <c r="C618" s="98" t="s">
        <v>732</v>
      </c>
      <c r="D618" s="70" t="s">
        <v>712</v>
      </c>
      <c r="E618" s="103" t="s">
        <v>164</v>
      </c>
      <c r="F618" s="75">
        <v>1917</v>
      </c>
      <c r="G618" s="73" t="s">
        <v>98</v>
      </c>
      <c r="H618" s="71" t="s">
        <v>118</v>
      </c>
      <c r="I618" s="73"/>
      <c r="J618" s="75">
        <f>I618*1917</f>
        <v>0</v>
      </c>
      <c r="K618" s="74"/>
      <c r="L618" s="11"/>
    </row>
    <row r="619" spans="2:12" s="9" customFormat="1" ht="13.5" customHeight="1" x14ac:dyDescent="0.2">
      <c r="B619" s="10"/>
      <c r="C619" s="98" t="s">
        <v>733</v>
      </c>
      <c r="D619" s="70" t="s">
        <v>712</v>
      </c>
      <c r="E619" s="103" t="s">
        <v>164</v>
      </c>
      <c r="F619" s="75">
        <v>2070</v>
      </c>
      <c r="G619" s="73" t="s">
        <v>98</v>
      </c>
      <c r="H619" s="71" t="s">
        <v>118</v>
      </c>
      <c r="I619" s="73"/>
      <c r="J619" s="75">
        <f>I619*2070</f>
        <v>0</v>
      </c>
      <c r="K619" s="74"/>
      <c r="L619" s="11"/>
    </row>
    <row r="620" spans="2:12" s="9" customFormat="1" ht="13.5" customHeight="1" x14ac:dyDescent="0.2">
      <c r="B620" s="10"/>
      <c r="C620" s="98" t="s">
        <v>734</v>
      </c>
      <c r="D620" s="70" t="s">
        <v>712</v>
      </c>
      <c r="E620" s="103" t="s">
        <v>314</v>
      </c>
      <c r="F620" s="75">
        <v>2070</v>
      </c>
      <c r="G620" s="73" t="s">
        <v>98</v>
      </c>
      <c r="H620" s="71" t="s">
        <v>118</v>
      </c>
      <c r="I620" s="73"/>
      <c r="J620" s="75">
        <f>I620*2070</f>
        <v>0</v>
      </c>
      <c r="K620" s="74"/>
      <c r="L620" s="11"/>
    </row>
    <row r="621" spans="2:12" s="9" customFormat="1" ht="13.5" customHeight="1" x14ac:dyDescent="0.2">
      <c r="B621" s="10"/>
      <c r="C621" s="98" t="s">
        <v>735</v>
      </c>
      <c r="D621" s="70" t="s">
        <v>712</v>
      </c>
      <c r="E621" s="103" t="s">
        <v>314</v>
      </c>
      <c r="F621" s="75">
        <v>2080</v>
      </c>
      <c r="G621" s="73" t="s">
        <v>98</v>
      </c>
      <c r="H621" s="71" t="s">
        <v>118</v>
      </c>
      <c r="I621" s="73"/>
      <c r="J621" s="75">
        <f>I621*2080</f>
        <v>0</v>
      </c>
      <c r="K621" s="74"/>
      <c r="L621" s="11"/>
    </row>
    <row r="622" spans="2:12" s="9" customFormat="1" ht="13.5" customHeight="1" x14ac:dyDescent="0.2">
      <c r="B622" s="10"/>
      <c r="C622" s="99" t="s">
        <v>736</v>
      </c>
      <c r="D622" s="76" t="s">
        <v>712</v>
      </c>
      <c r="E622" s="104" t="s">
        <v>164</v>
      </c>
      <c r="F622" s="81">
        <v>2168</v>
      </c>
      <c r="G622" s="79" t="s">
        <v>98</v>
      </c>
      <c r="H622" s="77" t="s">
        <v>118</v>
      </c>
      <c r="I622" s="79"/>
      <c r="J622" s="81">
        <f>I622*2168</f>
        <v>0</v>
      </c>
      <c r="K622" s="80"/>
      <c r="L622" s="11"/>
    </row>
    <row r="623" spans="2:12" s="9" customFormat="1" ht="13.5" customHeight="1" x14ac:dyDescent="0.2">
      <c r="B623" s="10"/>
      <c r="C623" s="98" t="s">
        <v>737</v>
      </c>
      <c r="D623" s="70" t="s">
        <v>712</v>
      </c>
      <c r="E623" s="103" t="s">
        <v>164</v>
      </c>
      <c r="F623" s="75">
        <v>2168</v>
      </c>
      <c r="G623" s="73" t="s">
        <v>98</v>
      </c>
      <c r="H623" s="71" t="s">
        <v>118</v>
      </c>
      <c r="I623" s="73"/>
      <c r="J623" s="75">
        <f>I623*2168</f>
        <v>0</v>
      </c>
      <c r="K623" s="74"/>
      <c r="L623" s="11"/>
    </row>
    <row r="624" spans="2:12" s="9" customFormat="1" ht="13.5" customHeight="1" x14ac:dyDescent="0.2">
      <c r="B624" s="10"/>
      <c r="C624" s="98" t="s">
        <v>738</v>
      </c>
      <c r="D624" s="70" t="s">
        <v>712</v>
      </c>
      <c r="E624" s="103" t="s">
        <v>21</v>
      </c>
      <c r="F624" s="75">
        <v>2401</v>
      </c>
      <c r="G624" s="73" t="s">
        <v>98</v>
      </c>
      <c r="H624" s="71" t="s">
        <v>118</v>
      </c>
      <c r="I624" s="73"/>
      <c r="J624" s="75">
        <f>I624*2401</f>
        <v>0</v>
      </c>
      <c r="K624" s="74"/>
      <c r="L624" s="11"/>
    </row>
    <row r="625" spans="2:12" s="9" customFormat="1" ht="13.5" customHeight="1" x14ac:dyDescent="0.2">
      <c r="B625" s="10"/>
      <c r="C625" s="98" t="s">
        <v>739</v>
      </c>
      <c r="D625" s="70" t="s">
        <v>712</v>
      </c>
      <c r="E625" s="103" t="s">
        <v>21</v>
      </c>
      <c r="F625" s="75">
        <v>2453</v>
      </c>
      <c r="G625" s="73" t="s">
        <v>98</v>
      </c>
      <c r="H625" s="71" t="s">
        <v>118</v>
      </c>
      <c r="I625" s="73"/>
      <c r="J625" s="75">
        <f>I625*2453</f>
        <v>0</v>
      </c>
      <c r="K625" s="74"/>
      <c r="L625" s="11"/>
    </row>
    <row r="626" spans="2:12" s="9" customFormat="1" ht="13.5" customHeight="1" x14ac:dyDescent="0.2">
      <c r="B626" s="10"/>
      <c r="C626" s="98" t="s">
        <v>740</v>
      </c>
      <c r="D626" s="70" t="s">
        <v>712</v>
      </c>
      <c r="E626" s="103" t="s">
        <v>21</v>
      </c>
      <c r="F626" s="75">
        <v>2486</v>
      </c>
      <c r="G626" s="73" t="s">
        <v>98</v>
      </c>
      <c r="H626" s="71" t="s">
        <v>118</v>
      </c>
      <c r="I626" s="73"/>
      <c r="J626" s="75">
        <f>I626*2486</f>
        <v>0</v>
      </c>
      <c r="K626" s="74"/>
      <c r="L626" s="11"/>
    </row>
    <row r="627" spans="2:12" s="9" customFormat="1" ht="13.5" customHeight="1" x14ac:dyDescent="0.2">
      <c r="B627" s="10"/>
      <c r="C627" s="98" t="s">
        <v>741</v>
      </c>
      <c r="D627" s="70" t="s">
        <v>712</v>
      </c>
      <c r="E627" s="103" t="s">
        <v>21</v>
      </c>
      <c r="F627" s="75">
        <v>2494</v>
      </c>
      <c r="G627" s="73" t="s">
        <v>98</v>
      </c>
      <c r="H627" s="71" t="s">
        <v>118</v>
      </c>
      <c r="I627" s="73"/>
      <c r="J627" s="75">
        <f>I627*2494</f>
        <v>0</v>
      </c>
      <c r="K627" s="74"/>
      <c r="L627" s="11"/>
    </row>
    <row r="628" spans="2:12" s="9" customFormat="1" ht="13.5" customHeight="1" x14ac:dyDescent="0.2">
      <c r="B628" s="10"/>
      <c r="C628" s="98" t="s">
        <v>742</v>
      </c>
      <c r="D628" s="70" t="s">
        <v>743</v>
      </c>
      <c r="E628" s="103" t="s">
        <v>164</v>
      </c>
      <c r="F628" s="75">
        <v>2675</v>
      </c>
      <c r="G628" s="73" t="s">
        <v>98</v>
      </c>
      <c r="H628" s="71" t="s">
        <v>118</v>
      </c>
      <c r="I628" s="73"/>
      <c r="J628" s="75">
        <f>I628*2675</f>
        <v>0</v>
      </c>
      <c r="K628" s="74"/>
      <c r="L628" s="11"/>
    </row>
    <row r="629" spans="2:12" s="9" customFormat="1" ht="13.5" customHeight="1" x14ac:dyDescent="0.2">
      <c r="B629" s="10"/>
      <c r="C629" s="98" t="s">
        <v>744</v>
      </c>
      <c r="D629" s="70" t="s">
        <v>745</v>
      </c>
      <c r="E629" s="103" t="s">
        <v>587</v>
      </c>
      <c r="F629" s="75">
        <v>2700</v>
      </c>
      <c r="G629" s="73" t="s">
        <v>98</v>
      </c>
      <c r="H629" s="71" t="s">
        <v>118</v>
      </c>
      <c r="I629" s="73"/>
      <c r="J629" s="75">
        <f>I629*2700</f>
        <v>0</v>
      </c>
      <c r="K629" s="74"/>
      <c r="L629" s="11"/>
    </row>
    <row r="630" spans="2:12" s="9" customFormat="1" ht="13.5" customHeight="1" x14ac:dyDescent="0.2">
      <c r="B630" s="10"/>
      <c r="C630" s="100" t="s">
        <v>746</v>
      </c>
      <c r="D630" s="82" t="s">
        <v>747</v>
      </c>
      <c r="E630" s="105" t="s">
        <v>299</v>
      </c>
      <c r="F630" s="87">
        <v>1717</v>
      </c>
      <c r="G630" s="85" t="s">
        <v>98</v>
      </c>
      <c r="H630" s="83" t="s">
        <v>118</v>
      </c>
      <c r="I630" s="85"/>
      <c r="J630" s="87">
        <f>I630*1717</f>
        <v>0</v>
      </c>
      <c r="K630" s="86"/>
      <c r="L630" s="11"/>
    </row>
    <row r="631" spans="2:12" s="9" customFormat="1" ht="13.5" customHeight="1" x14ac:dyDescent="0.2">
      <c r="B631" s="10"/>
      <c r="C631" s="100" t="s">
        <v>748</v>
      </c>
      <c r="D631" s="82" t="s">
        <v>747</v>
      </c>
      <c r="E631" s="105" t="s">
        <v>299</v>
      </c>
      <c r="F631" s="87">
        <v>1975</v>
      </c>
      <c r="G631" s="85" t="s">
        <v>98</v>
      </c>
      <c r="H631" s="83" t="s">
        <v>118</v>
      </c>
      <c r="I631" s="85"/>
      <c r="J631" s="87">
        <f>I631*1975</f>
        <v>0</v>
      </c>
      <c r="K631" s="86"/>
      <c r="L631" s="11"/>
    </row>
    <row r="632" spans="2:12" s="9" customFormat="1" ht="13.5" customHeight="1" x14ac:dyDescent="0.2">
      <c r="B632" s="10"/>
      <c r="C632" s="100" t="s">
        <v>749</v>
      </c>
      <c r="D632" s="82" t="s">
        <v>747</v>
      </c>
      <c r="E632" s="105" t="s">
        <v>413</v>
      </c>
      <c r="F632" s="87">
        <v>2061</v>
      </c>
      <c r="G632" s="85" t="s">
        <v>98</v>
      </c>
      <c r="H632" s="83" t="s">
        <v>118</v>
      </c>
      <c r="I632" s="85"/>
      <c r="J632" s="87">
        <f>I632*2061</f>
        <v>0</v>
      </c>
      <c r="K632" s="86"/>
      <c r="L632" s="11"/>
    </row>
    <row r="633" spans="2:12" s="9" customFormat="1" ht="13.5" customHeight="1" x14ac:dyDescent="0.2">
      <c r="B633" s="10"/>
      <c r="C633" s="100" t="s">
        <v>750</v>
      </c>
      <c r="D633" s="82" t="s">
        <v>747</v>
      </c>
      <c r="E633" s="105" t="s">
        <v>25</v>
      </c>
      <c r="F633" s="87">
        <v>2179</v>
      </c>
      <c r="G633" s="85" t="s">
        <v>98</v>
      </c>
      <c r="H633" s="83" t="s">
        <v>118</v>
      </c>
      <c r="I633" s="85"/>
      <c r="J633" s="87">
        <f>I633*2179</f>
        <v>0</v>
      </c>
      <c r="K633" s="86"/>
      <c r="L633" s="11"/>
    </row>
    <row r="634" spans="2:12" s="9" customFormat="1" ht="13.5" customHeight="1" x14ac:dyDescent="0.2">
      <c r="B634" s="10"/>
      <c r="C634" s="100" t="s">
        <v>751</v>
      </c>
      <c r="D634" s="82" t="s">
        <v>747</v>
      </c>
      <c r="E634" s="105" t="s">
        <v>413</v>
      </c>
      <c r="F634" s="87">
        <v>2290</v>
      </c>
      <c r="G634" s="85" t="s">
        <v>98</v>
      </c>
      <c r="H634" s="83" t="s">
        <v>118</v>
      </c>
      <c r="I634" s="85"/>
      <c r="J634" s="87">
        <f>I634*2290</f>
        <v>0</v>
      </c>
      <c r="K634" s="86"/>
      <c r="L634" s="11"/>
    </row>
    <row r="635" spans="2:12" s="9" customFormat="1" ht="13.5" customHeight="1" x14ac:dyDescent="0.2">
      <c r="B635" s="10"/>
      <c r="C635" s="100" t="s">
        <v>752</v>
      </c>
      <c r="D635" s="82" t="s">
        <v>747</v>
      </c>
      <c r="E635" s="105" t="s">
        <v>25</v>
      </c>
      <c r="F635" s="87">
        <v>2344</v>
      </c>
      <c r="G635" s="85" t="s">
        <v>98</v>
      </c>
      <c r="H635" s="83" t="s">
        <v>118</v>
      </c>
      <c r="I635" s="85"/>
      <c r="J635" s="87">
        <f>I635*2344</f>
        <v>0</v>
      </c>
      <c r="K635" s="86"/>
      <c r="L635" s="11"/>
    </row>
    <row r="636" spans="2:12" s="9" customFormat="1" ht="13.5" customHeight="1" x14ac:dyDescent="0.2">
      <c r="B636" s="10"/>
      <c r="C636" s="98" t="s">
        <v>753</v>
      </c>
      <c r="D636" s="70" t="s">
        <v>747</v>
      </c>
      <c r="E636" s="103" t="s">
        <v>164</v>
      </c>
      <c r="F636" s="75">
        <v>2490</v>
      </c>
      <c r="G636" s="73" t="s">
        <v>98</v>
      </c>
      <c r="H636" s="71" t="s">
        <v>118</v>
      </c>
      <c r="I636" s="73"/>
      <c r="J636" s="75">
        <f>I636*2490</f>
        <v>0</v>
      </c>
      <c r="K636" s="74"/>
      <c r="L636" s="11"/>
    </row>
    <row r="637" spans="2:12" s="9" customFormat="1" ht="13.5" customHeight="1" x14ac:dyDescent="0.2">
      <c r="B637" s="10"/>
      <c r="C637" s="98" t="s">
        <v>754</v>
      </c>
      <c r="D637" s="70" t="s">
        <v>747</v>
      </c>
      <c r="E637" s="103" t="s">
        <v>158</v>
      </c>
      <c r="F637" s="75">
        <v>2599</v>
      </c>
      <c r="G637" s="73" t="s">
        <v>98</v>
      </c>
      <c r="H637" s="71" t="s">
        <v>118</v>
      </c>
      <c r="I637" s="73"/>
      <c r="J637" s="75">
        <f>I637*2599</f>
        <v>0</v>
      </c>
      <c r="K637" s="74"/>
      <c r="L637" s="11"/>
    </row>
    <row r="638" spans="2:12" s="9" customFormat="1" ht="13.5" customHeight="1" x14ac:dyDescent="0.2">
      <c r="B638" s="10"/>
      <c r="C638" s="98" t="s">
        <v>755</v>
      </c>
      <c r="D638" s="70" t="s">
        <v>747</v>
      </c>
      <c r="E638" s="103" t="s">
        <v>587</v>
      </c>
      <c r="F638" s="75">
        <v>2650</v>
      </c>
      <c r="G638" s="73" t="s">
        <v>98</v>
      </c>
      <c r="H638" s="71" t="s">
        <v>118</v>
      </c>
      <c r="I638" s="73"/>
      <c r="J638" s="75">
        <f>I638*2650</f>
        <v>0</v>
      </c>
      <c r="K638" s="74"/>
      <c r="L638" s="11"/>
    </row>
    <row r="639" spans="2:12" s="9" customFormat="1" ht="13.5" customHeight="1" x14ac:dyDescent="0.2">
      <c r="B639" s="10"/>
      <c r="C639" s="98" t="s">
        <v>756</v>
      </c>
      <c r="D639" s="70" t="s">
        <v>747</v>
      </c>
      <c r="E639" s="103" t="s">
        <v>587</v>
      </c>
      <c r="F639" s="75">
        <v>2650</v>
      </c>
      <c r="G639" s="73" t="s">
        <v>98</v>
      </c>
      <c r="H639" s="71" t="s">
        <v>118</v>
      </c>
      <c r="I639" s="73"/>
      <c r="J639" s="75">
        <f>I639*2650</f>
        <v>0</v>
      </c>
      <c r="K639" s="74"/>
      <c r="L639" s="11"/>
    </row>
    <row r="640" spans="2:12" s="9" customFormat="1" ht="13.5" customHeight="1" x14ac:dyDescent="0.2">
      <c r="B640" s="10"/>
      <c r="C640" s="98" t="s">
        <v>757</v>
      </c>
      <c r="D640" s="70" t="s">
        <v>747</v>
      </c>
      <c r="E640" s="103" t="s">
        <v>164</v>
      </c>
      <c r="F640" s="75">
        <v>2692</v>
      </c>
      <c r="G640" s="73" t="s">
        <v>98</v>
      </c>
      <c r="H640" s="71" t="s">
        <v>118</v>
      </c>
      <c r="I640" s="73"/>
      <c r="J640" s="75">
        <f>I640*2692</f>
        <v>0</v>
      </c>
      <c r="K640" s="74"/>
      <c r="L640" s="11"/>
    </row>
    <row r="641" spans="2:12" s="9" customFormat="1" ht="13.5" customHeight="1" x14ac:dyDescent="0.2">
      <c r="B641" s="10"/>
      <c r="C641" s="98" t="s">
        <v>758</v>
      </c>
      <c r="D641" s="70" t="s">
        <v>747</v>
      </c>
      <c r="E641" s="103" t="s">
        <v>314</v>
      </c>
      <c r="F641" s="75">
        <v>2692</v>
      </c>
      <c r="G641" s="73" t="s">
        <v>98</v>
      </c>
      <c r="H641" s="71" t="s">
        <v>118</v>
      </c>
      <c r="I641" s="73"/>
      <c r="J641" s="75">
        <f>I641*2692</f>
        <v>0</v>
      </c>
      <c r="K641" s="74"/>
      <c r="L641" s="11"/>
    </row>
    <row r="642" spans="2:12" s="9" customFormat="1" ht="13.5" customHeight="1" x14ac:dyDescent="0.2">
      <c r="B642" s="10"/>
      <c r="C642" s="98" t="s">
        <v>759</v>
      </c>
      <c r="D642" s="70" t="s">
        <v>747</v>
      </c>
      <c r="E642" s="103" t="s">
        <v>164</v>
      </c>
      <c r="F642" s="75">
        <v>2735</v>
      </c>
      <c r="G642" s="73" t="s">
        <v>98</v>
      </c>
      <c r="H642" s="71" t="s">
        <v>118</v>
      </c>
      <c r="I642" s="73"/>
      <c r="J642" s="75">
        <f>I642*2735</f>
        <v>0</v>
      </c>
      <c r="K642" s="74"/>
      <c r="L642" s="11"/>
    </row>
    <row r="643" spans="2:12" s="9" customFormat="1" ht="13.5" customHeight="1" x14ac:dyDescent="0.2">
      <c r="B643" s="10"/>
      <c r="C643" s="98" t="s">
        <v>760</v>
      </c>
      <c r="D643" s="70" t="s">
        <v>747</v>
      </c>
      <c r="E643" s="103" t="s">
        <v>164</v>
      </c>
      <c r="F643" s="75">
        <v>2760</v>
      </c>
      <c r="G643" s="73" t="s">
        <v>98</v>
      </c>
      <c r="H643" s="71" t="s">
        <v>118</v>
      </c>
      <c r="I643" s="73"/>
      <c r="J643" s="75">
        <f>I643*2760</f>
        <v>0</v>
      </c>
      <c r="K643" s="74"/>
      <c r="L643" s="11"/>
    </row>
    <row r="644" spans="2:12" s="9" customFormat="1" ht="13.5" customHeight="1" x14ac:dyDescent="0.2">
      <c r="B644" s="10"/>
      <c r="C644" s="99" t="s">
        <v>761</v>
      </c>
      <c r="D644" s="76" t="s">
        <v>747</v>
      </c>
      <c r="E644" s="104" t="s">
        <v>158</v>
      </c>
      <c r="F644" s="81">
        <v>2850</v>
      </c>
      <c r="G644" s="79" t="s">
        <v>98</v>
      </c>
      <c r="H644" s="77" t="s">
        <v>118</v>
      </c>
      <c r="I644" s="79"/>
      <c r="J644" s="81">
        <f>I644*2850</f>
        <v>0</v>
      </c>
      <c r="K644" s="80"/>
      <c r="L644" s="11"/>
    </row>
    <row r="645" spans="2:12" s="9" customFormat="1" ht="13.5" customHeight="1" x14ac:dyDescent="0.2">
      <c r="B645" s="10"/>
      <c r="C645" s="98" t="s">
        <v>762</v>
      </c>
      <c r="D645" s="70" t="s">
        <v>747</v>
      </c>
      <c r="E645" s="103" t="s">
        <v>158</v>
      </c>
      <c r="F645" s="75">
        <v>2850</v>
      </c>
      <c r="G645" s="73" t="s">
        <v>98</v>
      </c>
      <c r="H645" s="71" t="s">
        <v>118</v>
      </c>
      <c r="I645" s="73"/>
      <c r="J645" s="75">
        <f>I645*2850</f>
        <v>0</v>
      </c>
      <c r="K645" s="74"/>
      <c r="L645" s="11"/>
    </row>
    <row r="646" spans="2:12" s="9" customFormat="1" ht="13.5" customHeight="1" x14ac:dyDescent="0.2">
      <c r="B646" s="10"/>
      <c r="C646" s="99" t="s">
        <v>763</v>
      </c>
      <c r="D646" s="76" t="s">
        <v>747</v>
      </c>
      <c r="E646" s="104" t="s">
        <v>587</v>
      </c>
      <c r="F646" s="81">
        <v>3100</v>
      </c>
      <c r="G646" s="79" t="s">
        <v>98</v>
      </c>
      <c r="H646" s="77" t="s">
        <v>118</v>
      </c>
      <c r="I646" s="79"/>
      <c r="J646" s="81">
        <f>I646*3100</f>
        <v>0</v>
      </c>
      <c r="K646" s="80"/>
      <c r="L646" s="11"/>
    </row>
    <row r="647" spans="2:12" s="9" customFormat="1" ht="13.5" customHeight="1" x14ac:dyDescent="0.2">
      <c r="B647" s="10"/>
      <c r="C647" s="98" t="s">
        <v>764</v>
      </c>
      <c r="D647" s="70" t="s">
        <v>747</v>
      </c>
      <c r="E647" s="103" t="s">
        <v>21</v>
      </c>
      <c r="F647" s="75">
        <v>3152</v>
      </c>
      <c r="G647" s="73" t="s">
        <v>98</v>
      </c>
      <c r="H647" s="71" t="s">
        <v>118</v>
      </c>
      <c r="I647" s="73"/>
      <c r="J647" s="75">
        <f>I647*3152</f>
        <v>0</v>
      </c>
      <c r="K647" s="74"/>
      <c r="L647" s="11"/>
    </row>
    <row r="648" spans="2:12" s="9" customFormat="1" ht="13.5" customHeight="1" x14ac:dyDescent="0.2">
      <c r="B648" s="10"/>
      <c r="C648" s="98" t="s">
        <v>765</v>
      </c>
      <c r="D648" s="70" t="s">
        <v>747</v>
      </c>
      <c r="E648" s="103" t="s">
        <v>21</v>
      </c>
      <c r="F648" s="75">
        <v>3159</v>
      </c>
      <c r="G648" s="73" t="s">
        <v>98</v>
      </c>
      <c r="H648" s="71" t="s">
        <v>118</v>
      </c>
      <c r="I648" s="73"/>
      <c r="J648" s="75">
        <f>I648*3159</f>
        <v>0</v>
      </c>
      <c r="K648" s="74"/>
      <c r="L648" s="11"/>
    </row>
    <row r="649" spans="2:12" s="9" customFormat="1" ht="13.5" customHeight="1" x14ac:dyDescent="0.2">
      <c r="B649" s="10"/>
      <c r="C649" s="98" t="s">
        <v>766</v>
      </c>
      <c r="D649" s="70" t="s">
        <v>747</v>
      </c>
      <c r="E649" s="103" t="s">
        <v>21</v>
      </c>
      <c r="F649" s="75">
        <v>3412</v>
      </c>
      <c r="G649" s="73" t="s">
        <v>98</v>
      </c>
      <c r="H649" s="71" t="s">
        <v>118</v>
      </c>
      <c r="I649" s="73"/>
      <c r="J649" s="75">
        <f>I649*3412</f>
        <v>0</v>
      </c>
      <c r="K649" s="74"/>
      <c r="L649" s="11"/>
    </row>
    <row r="650" spans="2:12" s="9" customFormat="1" ht="13.5" customHeight="1" x14ac:dyDescent="0.2">
      <c r="B650" s="10"/>
      <c r="C650" s="98" t="s">
        <v>767</v>
      </c>
      <c r="D650" s="70" t="s">
        <v>747</v>
      </c>
      <c r="E650" s="103" t="s">
        <v>314</v>
      </c>
      <c r="F650" s="75">
        <v>3460</v>
      </c>
      <c r="G650" s="73" t="s">
        <v>98</v>
      </c>
      <c r="H650" s="71" t="s">
        <v>118</v>
      </c>
      <c r="I650" s="73"/>
      <c r="J650" s="75">
        <f>I650*3460</f>
        <v>0</v>
      </c>
      <c r="K650" s="74"/>
      <c r="L650" s="11"/>
    </row>
    <row r="651" spans="2:12" s="9" customFormat="1" ht="13.5" customHeight="1" x14ac:dyDescent="0.2">
      <c r="B651" s="10"/>
      <c r="C651" s="98" t="s">
        <v>768</v>
      </c>
      <c r="D651" s="70" t="s">
        <v>747</v>
      </c>
      <c r="E651" s="103" t="s">
        <v>314</v>
      </c>
      <c r="F651" s="75">
        <v>3460</v>
      </c>
      <c r="G651" s="73" t="s">
        <v>98</v>
      </c>
      <c r="H651" s="71" t="s">
        <v>118</v>
      </c>
      <c r="I651" s="73"/>
      <c r="J651" s="75">
        <f>I651*3460</f>
        <v>0</v>
      </c>
      <c r="K651" s="74"/>
      <c r="L651" s="11"/>
    </row>
    <row r="652" spans="2:12" s="9" customFormat="1" ht="13.5" customHeight="1" x14ac:dyDescent="0.2">
      <c r="B652" s="10"/>
      <c r="C652" s="98" t="s">
        <v>769</v>
      </c>
      <c r="D652" s="70" t="s">
        <v>747</v>
      </c>
      <c r="E652" s="103" t="s">
        <v>21</v>
      </c>
      <c r="F652" s="75">
        <v>3543</v>
      </c>
      <c r="G652" s="73" t="s">
        <v>98</v>
      </c>
      <c r="H652" s="71" t="s">
        <v>118</v>
      </c>
      <c r="I652" s="73"/>
      <c r="J652" s="75">
        <f>I652*3543</f>
        <v>0</v>
      </c>
      <c r="K652" s="74"/>
      <c r="L652" s="11"/>
    </row>
    <row r="653" spans="2:12" s="9" customFormat="1" ht="13.5" customHeight="1" x14ac:dyDescent="0.2">
      <c r="B653" s="10"/>
      <c r="C653" s="98" t="s">
        <v>770</v>
      </c>
      <c r="D653" s="70" t="s">
        <v>747</v>
      </c>
      <c r="E653" s="103" t="s">
        <v>21</v>
      </c>
      <c r="F653" s="75">
        <v>3543</v>
      </c>
      <c r="G653" s="73" t="s">
        <v>98</v>
      </c>
      <c r="H653" s="71" t="s">
        <v>118</v>
      </c>
      <c r="I653" s="73"/>
      <c r="J653" s="75">
        <f>I653*3543</f>
        <v>0</v>
      </c>
      <c r="K653" s="74"/>
      <c r="L653" s="11"/>
    </row>
    <row r="654" spans="2:12" s="9" customFormat="1" ht="13.5" customHeight="1" x14ac:dyDescent="0.2">
      <c r="B654" s="10"/>
      <c r="C654" s="98" t="s">
        <v>771</v>
      </c>
      <c r="D654" s="70" t="s">
        <v>772</v>
      </c>
      <c r="E654" s="103" t="s">
        <v>587</v>
      </c>
      <c r="F654" s="75">
        <v>3400</v>
      </c>
      <c r="G654" s="73" t="s">
        <v>98</v>
      </c>
      <c r="H654" s="71" t="s">
        <v>118</v>
      </c>
      <c r="I654" s="73"/>
      <c r="J654" s="75">
        <f>I654*3400</f>
        <v>0</v>
      </c>
      <c r="K654" s="74"/>
      <c r="L654" s="11"/>
    </row>
    <row r="655" spans="2:12" s="9" customFormat="1" ht="13.5" customHeight="1" x14ac:dyDescent="0.2">
      <c r="B655" s="10"/>
      <c r="C655" s="99" t="s">
        <v>773</v>
      </c>
      <c r="D655" s="76" t="s">
        <v>772</v>
      </c>
      <c r="E655" s="104" t="s">
        <v>587</v>
      </c>
      <c r="F655" s="81">
        <v>3400</v>
      </c>
      <c r="G655" s="79" t="s">
        <v>98</v>
      </c>
      <c r="H655" s="77" t="s">
        <v>118</v>
      </c>
      <c r="I655" s="79"/>
      <c r="J655" s="81">
        <f>I655*3400</f>
        <v>0</v>
      </c>
      <c r="K655" s="80"/>
      <c r="L655" s="11"/>
    </row>
    <row r="656" spans="2:12" s="9" customFormat="1" ht="13.5" customHeight="1" x14ac:dyDescent="0.2">
      <c r="B656" s="10"/>
      <c r="C656" s="98" t="s">
        <v>774</v>
      </c>
      <c r="D656" s="70" t="s">
        <v>772</v>
      </c>
      <c r="E656" s="103" t="s">
        <v>109</v>
      </c>
      <c r="F656" s="75">
        <v>3560</v>
      </c>
      <c r="G656" s="73" t="s">
        <v>98</v>
      </c>
      <c r="H656" s="71" t="s">
        <v>118</v>
      </c>
      <c r="I656" s="73"/>
      <c r="J656" s="75">
        <f>I656*3560</f>
        <v>0</v>
      </c>
      <c r="K656" s="74"/>
      <c r="L656" s="11"/>
    </row>
    <row r="657" spans="2:12" s="9" customFormat="1" ht="13.5" customHeight="1" x14ac:dyDescent="0.2">
      <c r="B657" s="10"/>
      <c r="C657" s="100" t="s">
        <v>775</v>
      </c>
      <c r="D657" s="82" t="s">
        <v>776</v>
      </c>
      <c r="E657" s="105" t="s">
        <v>299</v>
      </c>
      <c r="F657" s="87">
        <v>2565</v>
      </c>
      <c r="G657" s="85" t="s">
        <v>98</v>
      </c>
      <c r="H657" s="83" t="s">
        <v>118</v>
      </c>
      <c r="I657" s="85"/>
      <c r="J657" s="87">
        <f>I657*2565</f>
        <v>0</v>
      </c>
      <c r="K657" s="86"/>
      <c r="L657" s="11"/>
    </row>
    <row r="658" spans="2:12" s="9" customFormat="1" ht="13.5" customHeight="1" x14ac:dyDescent="0.2">
      <c r="B658" s="10"/>
      <c r="C658" s="100" t="s">
        <v>777</v>
      </c>
      <c r="D658" s="82" t="s">
        <v>776</v>
      </c>
      <c r="E658" s="105" t="s">
        <v>299</v>
      </c>
      <c r="F658" s="87">
        <v>2858</v>
      </c>
      <c r="G658" s="85" t="s">
        <v>98</v>
      </c>
      <c r="H658" s="83" t="s">
        <v>118</v>
      </c>
      <c r="I658" s="85"/>
      <c r="J658" s="87">
        <f>I658*2858</f>
        <v>0</v>
      </c>
      <c r="K658" s="86"/>
      <c r="L658" s="11"/>
    </row>
    <row r="659" spans="2:12" s="9" customFormat="1" ht="13.5" customHeight="1" x14ac:dyDescent="0.2">
      <c r="B659" s="10"/>
      <c r="C659" s="100" t="s">
        <v>778</v>
      </c>
      <c r="D659" s="82" t="s">
        <v>776</v>
      </c>
      <c r="E659" s="105" t="s">
        <v>299</v>
      </c>
      <c r="F659" s="87">
        <v>2858</v>
      </c>
      <c r="G659" s="85" t="s">
        <v>98</v>
      </c>
      <c r="H659" s="83" t="s">
        <v>118</v>
      </c>
      <c r="I659" s="85"/>
      <c r="J659" s="87">
        <f>I659*2858</f>
        <v>0</v>
      </c>
      <c r="K659" s="86"/>
      <c r="L659" s="11"/>
    </row>
    <row r="660" spans="2:12" s="9" customFormat="1" ht="13.5" customHeight="1" x14ac:dyDescent="0.2">
      <c r="B660" s="10"/>
      <c r="C660" s="100" t="s">
        <v>779</v>
      </c>
      <c r="D660" s="82" t="s">
        <v>776</v>
      </c>
      <c r="E660" s="105" t="s">
        <v>413</v>
      </c>
      <c r="F660" s="87">
        <v>2974</v>
      </c>
      <c r="G660" s="85" t="s">
        <v>98</v>
      </c>
      <c r="H660" s="83" t="s">
        <v>118</v>
      </c>
      <c r="I660" s="85"/>
      <c r="J660" s="87">
        <f>I660*2974</f>
        <v>0</v>
      </c>
      <c r="K660" s="86"/>
      <c r="L660" s="11"/>
    </row>
    <row r="661" spans="2:12" s="9" customFormat="1" ht="13.5" customHeight="1" x14ac:dyDescent="0.2">
      <c r="B661" s="10"/>
      <c r="C661" s="100" t="s">
        <v>780</v>
      </c>
      <c r="D661" s="82" t="s">
        <v>776</v>
      </c>
      <c r="E661" s="105" t="s">
        <v>25</v>
      </c>
      <c r="F661" s="87">
        <v>3270</v>
      </c>
      <c r="G661" s="85" t="s">
        <v>98</v>
      </c>
      <c r="H661" s="83" t="s">
        <v>118</v>
      </c>
      <c r="I661" s="85"/>
      <c r="J661" s="87">
        <f>I661*3270</f>
        <v>0</v>
      </c>
      <c r="K661" s="86"/>
      <c r="L661" s="11"/>
    </row>
    <row r="662" spans="2:12" s="9" customFormat="1" ht="13.5" customHeight="1" x14ac:dyDescent="0.2">
      <c r="B662" s="10"/>
      <c r="C662" s="100" t="s">
        <v>781</v>
      </c>
      <c r="D662" s="82" t="s">
        <v>776</v>
      </c>
      <c r="E662" s="105" t="s">
        <v>25</v>
      </c>
      <c r="F662" s="87">
        <v>3340</v>
      </c>
      <c r="G662" s="85" t="s">
        <v>98</v>
      </c>
      <c r="H662" s="83" t="s">
        <v>118</v>
      </c>
      <c r="I662" s="85"/>
      <c r="J662" s="87">
        <f>I662*3340</f>
        <v>0</v>
      </c>
      <c r="K662" s="86"/>
      <c r="L662" s="11"/>
    </row>
    <row r="663" spans="2:12" s="9" customFormat="1" ht="13.5" customHeight="1" x14ac:dyDescent="0.2">
      <c r="B663" s="10"/>
      <c r="C663" s="98" t="s">
        <v>782</v>
      </c>
      <c r="D663" s="70" t="s">
        <v>776</v>
      </c>
      <c r="E663" s="103" t="s">
        <v>158</v>
      </c>
      <c r="F663" s="75">
        <v>3400</v>
      </c>
      <c r="G663" s="73" t="s">
        <v>98</v>
      </c>
      <c r="H663" s="71" t="s">
        <v>118</v>
      </c>
      <c r="I663" s="73"/>
      <c r="J663" s="75">
        <f>I663*3400</f>
        <v>0</v>
      </c>
      <c r="K663" s="74"/>
      <c r="L663" s="11"/>
    </row>
    <row r="664" spans="2:12" s="9" customFormat="1" ht="13.5" customHeight="1" x14ac:dyDescent="0.2">
      <c r="B664" s="10"/>
      <c r="C664" s="98" t="s">
        <v>783</v>
      </c>
      <c r="D664" s="70" t="s">
        <v>776</v>
      </c>
      <c r="E664" s="103" t="s">
        <v>164</v>
      </c>
      <c r="F664" s="75">
        <v>3530</v>
      </c>
      <c r="G664" s="73" t="s">
        <v>98</v>
      </c>
      <c r="H664" s="71" t="s">
        <v>118</v>
      </c>
      <c r="I664" s="73"/>
      <c r="J664" s="75">
        <f>I664*3530</f>
        <v>0</v>
      </c>
      <c r="K664" s="74"/>
      <c r="L664" s="11"/>
    </row>
    <row r="665" spans="2:12" s="9" customFormat="1" ht="13.5" customHeight="1" x14ac:dyDescent="0.2">
      <c r="B665" s="10"/>
      <c r="C665" s="99" t="s">
        <v>784</v>
      </c>
      <c r="D665" s="76" t="s">
        <v>776</v>
      </c>
      <c r="E665" s="104" t="s">
        <v>413</v>
      </c>
      <c r="F665" s="81">
        <v>3620</v>
      </c>
      <c r="G665" s="79" t="s">
        <v>98</v>
      </c>
      <c r="H665" s="77" t="s">
        <v>118</v>
      </c>
      <c r="I665" s="79"/>
      <c r="J665" s="81">
        <f>I665*3620</f>
        <v>0</v>
      </c>
      <c r="K665" s="80"/>
      <c r="L665" s="11"/>
    </row>
    <row r="666" spans="2:12" s="9" customFormat="1" ht="13.5" customHeight="1" x14ac:dyDescent="0.2">
      <c r="B666" s="10"/>
      <c r="C666" s="98" t="s">
        <v>785</v>
      </c>
      <c r="D666" s="70" t="s">
        <v>776</v>
      </c>
      <c r="E666" s="103" t="s">
        <v>413</v>
      </c>
      <c r="F666" s="75">
        <v>3620</v>
      </c>
      <c r="G666" s="73" t="s">
        <v>98</v>
      </c>
      <c r="H666" s="71" t="s">
        <v>118</v>
      </c>
      <c r="I666" s="73"/>
      <c r="J666" s="75">
        <f>I666*3620</f>
        <v>0</v>
      </c>
      <c r="K666" s="74"/>
      <c r="L666" s="11"/>
    </row>
    <row r="667" spans="2:12" s="9" customFormat="1" ht="13.5" customHeight="1" x14ac:dyDescent="0.2">
      <c r="B667" s="10"/>
      <c r="C667" s="98" t="s">
        <v>786</v>
      </c>
      <c r="D667" s="70" t="s">
        <v>776</v>
      </c>
      <c r="E667" s="103" t="s">
        <v>164</v>
      </c>
      <c r="F667" s="75">
        <v>3785</v>
      </c>
      <c r="G667" s="73" t="s">
        <v>98</v>
      </c>
      <c r="H667" s="71" t="s">
        <v>118</v>
      </c>
      <c r="I667" s="73"/>
      <c r="J667" s="75">
        <f>I667*3785</f>
        <v>0</v>
      </c>
      <c r="K667" s="74"/>
      <c r="L667" s="11"/>
    </row>
    <row r="668" spans="2:12" s="9" customFormat="1" ht="13.5" customHeight="1" x14ac:dyDescent="0.2">
      <c r="B668" s="10"/>
      <c r="C668" s="98" t="s">
        <v>787</v>
      </c>
      <c r="D668" s="70" t="s">
        <v>776</v>
      </c>
      <c r="E668" s="103" t="s">
        <v>314</v>
      </c>
      <c r="F668" s="75">
        <v>3785</v>
      </c>
      <c r="G668" s="73" t="s">
        <v>98</v>
      </c>
      <c r="H668" s="71" t="s">
        <v>118</v>
      </c>
      <c r="I668" s="73"/>
      <c r="J668" s="75">
        <f>I668*3785</f>
        <v>0</v>
      </c>
      <c r="K668" s="74"/>
      <c r="L668" s="11"/>
    </row>
    <row r="669" spans="2:12" s="9" customFormat="1" ht="13.5" customHeight="1" x14ac:dyDescent="0.2">
      <c r="B669" s="10"/>
      <c r="C669" s="98" t="s">
        <v>788</v>
      </c>
      <c r="D669" s="70" t="s">
        <v>776</v>
      </c>
      <c r="E669" s="103" t="s">
        <v>164</v>
      </c>
      <c r="F669" s="75">
        <v>3785</v>
      </c>
      <c r="G669" s="73" t="s">
        <v>98</v>
      </c>
      <c r="H669" s="71" t="s">
        <v>118</v>
      </c>
      <c r="I669" s="73"/>
      <c r="J669" s="75">
        <f>I669*3785</f>
        <v>0</v>
      </c>
      <c r="K669" s="74"/>
      <c r="L669" s="11"/>
    </row>
    <row r="670" spans="2:12" s="9" customFormat="1" ht="13.5" customHeight="1" x14ac:dyDescent="0.2">
      <c r="B670" s="10"/>
      <c r="C670" s="98" t="s">
        <v>789</v>
      </c>
      <c r="D670" s="70" t="s">
        <v>776</v>
      </c>
      <c r="E670" s="103" t="s">
        <v>21</v>
      </c>
      <c r="F670" s="75">
        <v>3985</v>
      </c>
      <c r="G670" s="73" t="s">
        <v>98</v>
      </c>
      <c r="H670" s="71" t="s">
        <v>118</v>
      </c>
      <c r="I670" s="73"/>
      <c r="J670" s="75">
        <f>I670*3985</f>
        <v>0</v>
      </c>
      <c r="K670" s="74"/>
      <c r="L670" s="11"/>
    </row>
    <row r="671" spans="2:12" s="9" customFormat="1" ht="13.5" customHeight="1" x14ac:dyDescent="0.2">
      <c r="B671" s="10"/>
      <c r="C671" s="98" t="s">
        <v>790</v>
      </c>
      <c r="D671" s="70" t="s">
        <v>776</v>
      </c>
      <c r="E671" s="103" t="s">
        <v>587</v>
      </c>
      <c r="F671" s="75">
        <v>4100</v>
      </c>
      <c r="G671" s="73" t="s">
        <v>98</v>
      </c>
      <c r="H671" s="71" t="s">
        <v>118</v>
      </c>
      <c r="I671" s="73"/>
      <c r="J671" s="75">
        <f>I671*4100</f>
        <v>0</v>
      </c>
      <c r="K671" s="74"/>
      <c r="L671" s="11"/>
    </row>
    <row r="672" spans="2:12" s="9" customFormat="1" ht="13.5" customHeight="1" x14ac:dyDescent="0.2">
      <c r="B672" s="10"/>
      <c r="C672" s="99" t="s">
        <v>791</v>
      </c>
      <c r="D672" s="76" t="s">
        <v>776</v>
      </c>
      <c r="E672" s="104" t="s">
        <v>587</v>
      </c>
      <c r="F672" s="81">
        <v>4100</v>
      </c>
      <c r="G672" s="79" t="s">
        <v>98</v>
      </c>
      <c r="H672" s="77" t="s">
        <v>118</v>
      </c>
      <c r="I672" s="79"/>
      <c r="J672" s="81">
        <f>I672*4100</f>
        <v>0</v>
      </c>
      <c r="K672" s="80"/>
      <c r="L672" s="11"/>
    </row>
    <row r="673" spans="2:12" s="9" customFormat="1" ht="13.5" customHeight="1" x14ac:dyDescent="0.2">
      <c r="B673" s="10"/>
      <c r="C673" s="99" t="s">
        <v>792</v>
      </c>
      <c r="D673" s="76" t="s">
        <v>776</v>
      </c>
      <c r="E673" s="104" t="s">
        <v>109</v>
      </c>
      <c r="F673" s="81">
        <v>4240</v>
      </c>
      <c r="G673" s="79" t="s">
        <v>98</v>
      </c>
      <c r="H673" s="77" t="s">
        <v>118</v>
      </c>
      <c r="I673" s="79"/>
      <c r="J673" s="81">
        <f>I673*4240</f>
        <v>0</v>
      </c>
      <c r="K673" s="80"/>
      <c r="L673" s="11"/>
    </row>
    <row r="674" spans="2:12" s="9" customFormat="1" ht="13.5" customHeight="1" x14ac:dyDescent="0.2">
      <c r="B674" s="10"/>
      <c r="C674" s="99" t="s">
        <v>793</v>
      </c>
      <c r="D674" s="76" t="s">
        <v>776</v>
      </c>
      <c r="E674" s="104" t="s">
        <v>109</v>
      </c>
      <c r="F674" s="81">
        <v>4240</v>
      </c>
      <c r="G674" s="79" t="s">
        <v>98</v>
      </c>
      <c r="H674" s="77" t="s">
        <v>118</v>
      </c>
      <c r="I674" s="79"/>
      <c r="J674" s="81">
        <f>I674*4240</f>
        <v>0</v>
      </c>
      <c r="K674" s="80"/>
      <c r="L674" s="11"/>
    </row>
    <row r="675" spans="2:12" s="9" customFormat="1" ht="13.5" customHeight="1" x14ac:dyDescent="0.2">
      <c r="B675" s="10"/>
      <c r="C675" s="99" t="s">
        <v>794</v>
      </c>
      <c r="D675" s="76" t="s">
        <v>776</v>
      </c>
      <c r="E675" s="104" t="s">
        <v>109</v>
      </c>
      <c r="F675" s="81">
        <v>4240</v>
      </c>
      <c r="G675" s="79" t="s">
        <v>98</v>
      </c>
      <c r="H675" s="77" t="s">
        <v>118</v>
      </c>
      <c r="I675" s="79"/>
      <c r="J675" s="81">
        <f>I675*4240</f>
        <v>0</v>
      </c>
      <c r="K675" s="80"/>
      <c r="L675" s="11"/>
    </row>
    <row r="676" spans="2:12" s="9" customFormat="1" ht="13.5" customHeight="1" x14ac:dyDescent="0.2">
      <c r="B676" s="10"/>
      <c r="C676" s="98" t="s">
        <v>795</v>
      </c>
      <c r="D676" s="70" t="s">
        <v>776</v>
      </c>
      <c r="E676" s="103" t="s">
        <v>21</v>
      </c>
      <c r="F676" s="75">
        <v>4346</v>
      </c>
      <c r="G676" s="73" t="s">
        <v>98</v>
      </c>
      <c r="H676" s="71" t="s">
        <v>118</v>
      </c>
      <c r="I676" s="73"/>
      <c r="J676" s="75">
        <f>I676*4346</f>
        <v>0</v>
      </c>
      <c r="K676" s="74"/>
      <c r="L676" s="11"/>
    </row>
    <row r="677" spans="2:12" s="9" customFormat="1" ht="13.5" customHeight="1" x14ac:dyDescent="0.2">
      <c r="B677" s="10"/>
      <c r="C677" s="98" t="s">
        <v>796</v>
      </c>
      <c r="D677" s="70" t="s">
        <v>776</v>
      </c>
      <c r="E677" s="103" t="s">
        <v>21</v>
      </c>
      <c r="F677" s="75">
        <v>4998</v>
      </c>
      <c r="G677" s="73" t="s">
        <v>98</v>
      </c>
      <c r="H677" s="71" t="s">
        <v>118</v>
      </c>
      <c r="I677" s="73"/>
      <c r="J677" s="75">
        <f>I677*4998</f>
        <v>0</v>
      </c>
      <c r="K677" s="74"/>
      <c r="L677" s="11"/>
    </row>
    <row r="678" spans="2:12" s="9" customFormat="1" ht="13.5" customHeight="1" x14ac:dyDescent="0.2">
      <c r="B678" s="10"/>
      <c r="C678" s="98" t="s">
        <v>797</v>
      </c>
      <c r="D678" s="70" t="s">
        <v>776</v>
      </c>
      <c r="E678" s="103" t="s">
        <v>21</v>
      </c>
      <c r="F678" s="75">
        <v>5045</v>
      </c>
      <c r="G678" s="73" t="s">
        <v>98</v>
      </c>
      <c r="H678" s="71" t="s">
        <v>118</v>
      </c>
      <c r="I678" s="73"/>
      <c r="J678" s="75">
        <f>I678*5045</f>
        <v>0</v>
      </c>
      <c r="K678" s="74"/>
      <c r="L678" s="11"/>
    </row>
    <row r="679" spans="2:12" s="9" customFormat="1" ht="13.5" customHeight="1" x14ac:dyDescent="0.2">
      <c r="B679" s="10"/>
      <c r="C679" s="98" t="s">
        <v>798</v>
      </c>
      <c r="D679" s="70" t="s">
        <v>776</v>
      </c>
      <c r="E679" s="103" t="s">
        <v>21</v>
      </c>
      <c r="F679" s="75">
        <v>5051</v>
      </c>
      <c r="G679" s="73" t="s">
        <v>98</v>
      </c>
      <c r="H679" s="71" t="s">
        <v>118</v>
      </c>
      <c r="I679" s="73"/>
      <c r="J679" s="75">
        <f>I679*5051</f>
        <v>0</v>
      </c>
      <c r="K679" s="74"/>
      <c r="L679" s="11"/>
    </row>
    <row r="680" spans="2:12" s="9" customFormat="1" ht="13.5" customHeight="1" x14ac:dyDescent="0.2">
      <c r="B680" s="10"/>
      <c r="C680" s="99" t="s">
        <v>799</v>
      </c>
      <c r="D680" s="76" t="s">
        <v>800</v>
      </c>
      <c r="E680" s="104" t="s">
        <v>158</v>
      </c>
      <c r="F680" s="81">
        <v>4450</v>
      </c>
      <c r="G680" s="79" t="s">
        <v>98</v>
      </c>
      <c r="H680" s="77" t="s">
        <v>118</v>
      </c>
      <c r="I680" s="79"/>
      <c r="J680" s="81">
        <f>I680*4450</f>
        <v>0</v>
      </c>
      <c r="K680" s="80"/>
      <c r="L680" s="11"/>
    </row>
    <row r="681" spans="2:12" s="9" customFormat="1" ht="13.5" customHeight="1" x14ac:dyDescent="0.2">
      <c r="B681" s="10"/>
      <c r="C681" s="98" t="s">
        <v>801</v>
      </c>
      <c r="D681" s="70" t="s">
        <v>802</v>
      </c>
      <c r="E681" s="103" t="s">
        <v>109</v>
      </c>
      <c r="F681" s="75">
        <v>5775</v>
      </c>
      <c r="G681" s="73" t="s">
        <v>98</v>
      </c>
      <c r="H681" s="71" t="s">
        <v>118</v>
      </c>
      <c r="I681" s="73"/>
      <c r="J681" s="75">
        <f>I681*5775</f>
        <v>0</v>
      </c>
      <c r="K681" s="74"/>
      <c r="L681" s="11"/>
    </row>
    <row r="682" spans="2:12" s="9" customFormat="1" ht="13.5" customHeight="1" x14ac:dyDescent="0.2">
      <c r="B682" s="10"/>
      <c r="C682" s="98" t="s">
        <v>803</v>
      </c>
      <c r="D682" s="70" t="s">
        <v>802</v>
      </c>
      <c r="E682" s="103" t="s">
        <v>587</v>
      </c>
      <c r="F682" s="75">
        <v>5900</v>
      </c>
      <c r="G682" s="73" t="s">
        <v>98</v>
      </c>
      <c r="H682" s="71" t="s">
        <v>118</v>
      </c>
      <c r="I682" s="73"/>
      <c r="J682" s="75">
        <f>I682*5900</f>
        <v>0</v>
      </c>
      <c r="K682" s="74"/>
      <c r="L682" s="11"/>
    </row>
    <row r="683" spans="2:12" s="9" customFormat="1" ht="13.5" customHeight="1" x14ac:dyDescent="0.2">
      <c r="B683" s="10"/>
      <c r="C683" s="98" t="s">
        <v>804</v>
      </c>
      <c r="D683" s="70" t="s">
        <v>802</v>
      </c>
      <c r="E683" s="103" t="s">
        <v>164</v>
      </c>
      <c r="F683" s="75">
        <v>5990</v>
      </c>
      <c r="G683" s="73" t="s">
        <v>98</v>
      </c>
      <c r="H683" s="71" t="s">
        <v>118</v>
      </c>
      <c r="I683" s="73"/>
      <c r="J683" s="75">
        <f>I683*5990</f>
        <v>0</v>
      </c>
      <c r="K683" s="74"/>
      <c r="L683" s="11"/>
    </row>
    <row r="684" spans="2:12" s="9" customFormat="1" ht="13.5" customHeight="1" x14ac:dyDescent="0.2">
      <c r="B684" s="10"/>
      <c r="C684" s="98" t="s">
        <v>805</v>
      </c>
      <c r="D684" s="70" t="s">
        <v>802</v>
      </c>
      <c r="E684" s="103" t="s">
        <v>21</v>
      </c>
      <c r="F684" s="75">
        <v>6979</v>
      </c>
      <c r="G684" s="73" t="s">
        <v>98</v>
      </c>
      <c r="H684" s="71" t="s">
        <v>118</v>
      </c>
      <c r="I684" s="73"/>
      <c r="J684" s="75">
        <f>I684*6979</f>
        <v>0</v>
      </c>
      <c r="K684" s="74"/>
      <c r="L684" s="11"/>
    </row>
    <row r="685" spans="2:12" s="9" customFormat="1" ht="13.5" customHeight="1" x14ac:dyDescent="0.2">
      <c r="B685" s="10"/>
      <c r="C685" s="98" t="s">
        <v>806</v>
      </c>
      <c r="D685" s="70" t="s">
        <v>807</v>
      </c>
      <c r="E685" s="103" t="s">
        <v>158</v>
      </c>
      <c r="F685" s="75">
        <v>5990</v>
      </c>
      <c r="G685" s="73" t="s">
        <v>98</v>
      </c>
      <c r="H685" s="71" t="s">
        <v>118</v>
      </c>
      <c r="I685" s="73"/>
      <c r="J685" s="75">
        <f>I685*5990</f>
        <v>0</v>
      </c>
      <c r="K685" s="74"/>
      <c r="L685" s="11"/>
    </row>
    <row r="686" spans="2:12" s="9" customFormat="1" ht="13.5" customHeight="1" x14ac:dyDescent="0.2">
      <c r="B686" s="10"/>
      <c r="C686" s="99" t="s">
        <v>808</v>
      </c>
      <c r="D686" s="76" t="s">
        <v>807</v>
      </c>
      <c r="E686" s="104" t="s">
        <v>164</v>
      </c>
      <c r="F686" s="81">
        <v>6900</v>
      </c>
      <c r="G686" s="79" t="s">
        <v>98</v>
      </c>
      <c r="H686" s="77" t="s">
        <v>118</v>
      </c>
      <c r="I686" s="79"/>
      <c r="J686" s="81">
        <f>I686*6900</f>
        <v>0</v>
      </c>
      <c r="K686" s="80"/>
      <c r="L686" s="11"/>
    </row>
    <row r="687" spans="2:12" s="9" customFormat="1" ht="13.5" customHeight="1" x14ac:dyDescent="0.2">
      <c r="B687" s="10"/>
      <c r="C687" s="100" t="s">
        <v>809</v>
      </c>
      <c r="D687" s="82" t="s">
        <v>810</v>
      </c>
      <c r="E687" s="105" t="s">
        <v>299</v>
      </c>
      <c r="F687" s="87">
        <v>5687</v>
      </c>
      <c r="G687" s="85" t="s">
        <v>98</v>
      </c>
      <c r="H687" s="83" t="s">
        <v>118</v>
      </c>
      <c r="I687" s="85"/>
      <c r="J687" s="87">
        <f>I687*5687</f>
        <v>0</v>
      </c>
      <c r="K687" s="86"/>
      <c r="L687" s="11"/>
    </row>
    <row r="688" spans="2:12" s="9" customFormat="1" ht="13.5" customHeight="1" x14ac:dyDescent="0.2">
      <c r="B688" s="10"/>
      <c r="C688" s="100" t="s">
        <v>811</v>
      </c>
      <c r="D688" s="82" t="s">
        <v>810</v>
      </c>
      <c r="E688" s="105" t="s">
        <v>299</v>
      </c>
      <c r="F688" s="87">
        <v>5687</v>
      </c>
      <c r="G688" s="85" t="s">
        <v>98</v>
      </c>
      <c r="H688" s="83" t="s">
        <v>118</v>
      </c>
      <c r="I688" s="85"/>
      <c r="J688" s="87">
        <f>I688*5687</f>
        <v>0</v>
      </c>
      <c r="K688" s="86"/>
      <c r="L688" s="11"/>
    </row>
    <row r="689" spans="2:12" s="9" customFormat="1" ht="13.5" customHeight="1" x14ac:dyDescent="0.2">
      <c r="B689" s="10"/>
      <c r="C689" s="100" t="s">
        <v>812</v>
      </c>
      <c r="D689" s="82" t="s">
        <v>810</v>
      </c>
      <c r="E689" s="105" t="s">
        <v>413</v>
      </c>
      <c r="F689" s="87">
        <v>5812</v>
      </c>
      <c r="G689" s="85" t="s">
        <v>98</v>
      </c>
      <c r="H689" s="83" t="s">
        <v>118</v>
      </c>
      <c r="I689" s="85"/>
      <c r="J689" s="87">
        <f>I689*5812</f>
        <v>0</v>
      </c>
      <c r="K689" s="86"/>
      <c r="L689" s="11"/>
    </row>
    <row r="690" spans="2:12" s="9" customFormat="1" ht="13.5" customHeight="1" x14ac:dyDescent="0.2">
      <c r="B690" s="10"/>
      <c r="C690" s="100" t="s">
        <v>813</v>
      </c>
      <c r="D690" s="82" t="s">
        <v>810</v>
      </c>
      <c r="E690" s="105" t="s">
        <v>25</v>
      </c>
      <c r="F690" s="87">
        <v>5928</v>
      </c>
      <c r="G690" s="85" t="s">
        <v>98</v>
      </c>
      <c r="H690" s="83" t="s">
        <v>118</v>
      </c>
      <c r="I690" s="85"/>
      <c r="J690" s="87">
        <f>I690*5928</f>
        <v>0</v>
      </c>
      <c r="K690" s="86"/>
      <c r="L690" s="11"/>
    </row>
    <row r="691" spans="2:12" s="9" customFormat="1" ht="13.5" customHeight="1" x14ac:dyDescent="0.2">
      <c r="B691" s="10"/>
      <c r="C691" s="100" t="s">
        <v>814</v>
      </c>
      <c r="D691" s="82" t="s">
        <v>810</v>
      </c>
      <c r="E691" s="105" t="s">
        <v>299</v>
      </c>
      <c r="F691" s="87">
        <v>6060</v>
      </c>
      <c r="G691" s="85" t="s">
        <v>98</v>
      </c>
      <c r="H691" s="83" t="s">
        <v>118</v>
      </c>
      <c r="I691" s="85"/>
      <c r="J691" s="87">
        <f>I691*6060</f>
        <v>0</v>
      </c>
      <c r="K691" s="86"/>
      <c r="L691" s="11"/>
    </row>
    <row r="692" spans="2:12" s="9" customFormat="1" ht="13.5" customHeight="1" x14ac:dyDescent="0.2">
      <c r="B692" s="10"/>
      <c r="C692" s="98" t="s">
        <v>815</v>
      </c>
      <c r="D692" s="70" t="s">
        <v>810</v>
      </c>
      <c r="E692" s="103" t="s">
        <v>25</v>
      </c>
      <c r="F692" s="75">
        <v>6796</v>
      </c>
      <c r="G692" s="73" t="s">
        <v>98</v>
      </c>
      <c r="H692" s="71" t="s">
        <v>118</v>
      </c>
      <c r="I692" s="73"/>
      <c r="J692" s="75">
        <f>I692*6796</f>
        <v>0</v>
      </c>
      <c r="K692" s="74"/>
      <c r="L692" s="11"/>
    </row>
    <row r="693" spans="2:12" s="9" customFormat="1" ht="13.5" customHeight="1" x14ac:dyDescent="0.2">
      <c r="B693" s="10"/>
      <c r="C693" s="99" t="s">
        <v>816</v>
      </c>
      <c r="D693" s="76" t="s">
        <v>810</v>
      </c>
      <c r="E693" s="104" t="s">
        <v>158</v>
      </c>
      <c r="F693" s="81">
        <v>6990</v>
      </c>
      <c r="G693" s="79" t="s">
        <v>98</v>
      </c>
      <c r="H693" s="77" t="s">
        <v>118</v>
      </c>
      <c r="I693" s="79"/>
      <c r="J693" s="81">
        <f>I693*6990</f>
        <v>0</v>
      </c>
      <c r="K693" s="80"/>
      <c r="L693" s="11"/>
    </row>
    <row r="694" spans="2:12" s="9" customFormat="1" ht="13.5" customHeight="1" x14ac:dyDescent="0.2">
      <c r="B694" s="10"/>
      <c r="C694" s="98" t="s">
        <v>817</v>
      </c>
      <c r="D694" s="70" t="s">
        <v>810</v>
      </c>
      <c r="E694" s="103" t="s">
        <v>158</v>
      </c>
      <c r="F694" s="75">
        <v>6990</v>
      </c>
      <c r="G694" s="73" t="s">
        <v>98</v>
      </c>
      <c r="H694" s="71" t="s">
        <v>118</v>
      </c>
      <c r="I694" s="73"/>
      <c r="J694" s="75">
        <f>I694*6990</f>
        <v>0</v>
      </c>
      <c r="K694" s="74"/>
      <c r="L694" s="11"/>
    </row>
    <row r="695" spans="2:12" s="9" customFormat="1" ht="13.5" customHeight="1" x14ac:dyDescent="0.2">
      <c r="B695" s="10"/>
      <c r="C695" s="98" t="s">
        <v>818</v>
      </c>
      <c r="D695" s="70" t="s">
        <v>810</v>
      </c>
      <c r="E695" s="103" t="s">
        <v>25</v>
      </c>
      <c r="F695" s="75">
        <v>7200</v>
      </c>
      <c r="G695" s="73" t="s">
        <v>98</v>
      </c>
      <c r="H695" s="71" t="s">
        <v>118</v>
      </c>
      <c r="I695" s="73"/>
      <c r="J695" s="75">
        <f>I695*7200</f>
        <v>0</v>
      </c>
      <c r="K695" s="74"/>
      <c r="L695" s="11"/>
    </row>
    <row r="696" spans="2:12" s="9" customFormat="1" ht="13.5" customHeight="1" x14ac:dyDescent="0.2">
      <c r="B696" s="10"/>
      <c r="C696" s="98" t="s">
        <v>819</v>
      </c>
      <c r="D696" s="70" t="s">
        <v>810</v>
      </c>
      <c r="E696" s="103" t="s">
        <v>413</v>
      </c>
      <c r="F696" s="75">
        <v>7204</v>
      </c>
      <c r="G696" s="73" t="s">
        <v>98</v>
      </c>
      <c r="H696" s="71" t="s">
        <v>118</v>
      </c>
      <c r="I696" s="73"/>
      <c r="J696" s="75">
        <f>I696*7204</f>
        <v>0</v>
      </c>
      <c r="K696" s="74"/>
      <c r="L696" s="11"/>
    </row>
    <row r="697" spans="2:12" s="9" customFormat="1" ht="13.5" customHeight="1" x14ac:dyDescent="0.2">
      <c r="B697" s="10"/>
      <c r="C697" s="98" t="s">
        <v>820</v>
      </c>
      <c r="D697" s="70" t="s">
        <v>810</v>
      </c>
      <c r="E697" s="103" t="s">
        <v>164</v>
      </c>
      <c r="F697" s="75">
        <v>7280</v>
      </c>
      <c r="G697" s="73" t="s">
        <v>98</v>
      </c>
      <c r="H697" s="71" t="s">
        <v>118</v>
      </c>
      <c r="I697" s="73"/>
      <c r="J697" s="75">
        <f>I697*7280</f>
        <v>0</v>
      </c>
      <c r="K697" s="74"/>
      <c r="L697" s="11"/>
    </row>
    <row r="698" spans="2:12" s="9" customFormat="1" ht="13.5" customHeight="1" x14ac:dyDescent="0.2">
      <c r="B698" s="10"/>
      <c r="C698" s="98" t="s">
        <v>821</v>
      </c>
      <c r="D698" s="70" t="s">
        <v>810</v>
      </c>
      <c r="E698" s="103" t="s">
        <v>314</v>
      </c>
      <c r="F698" s="75">
        <v>7290</v>
      </c>
      <c r="G698" s="73" t="s">
        <v>98</v>
      </c>
      <c r="H698" s="71" t="s">
        <v>118</v>
      </c>
      <c r="I698" s="73"/>
      <c r="J698" s="75">
        <f>I698*7290</f>
        <v>0</v>
      </c>
      <c r="K698" s="74"/>
      <c r="L698" s="11"/>
    </row>
    <row r="699" spans="2:12" s="9" customFormat="1" ht="13.5" customHeight="1" x14ac:dyDescent="0.2">
      <c r="B699" s="10"/>
      <c r="C699" s="98" t="s">
        <v>822</v>
      </c>
      <c r="D699" s="70" t="s">
        <v>810</v>
      </c>
      <c r="E699" s="103" t="s">
        <v>164</v>
      </c>
      <c r="F699" s="75">
        <v>7290</v>
      </c>
      <c r="G699" s="73" t="s">
        <v>98</v>
      </c>
      <c r="H699" s="71" t="s">
        <v>118</v>
      </c>
      <c r="I699" s="73"/>
      <c r="J699" s="75">
        <f>I699*7290</f>
        <v>0</v>
      </c>
      <c r="K699" s="74"/>
      <c r="L699" s="11"/>
    </row>
    <row r="700" spans="2:12" s="9" customFormat="1" ht="13.5" customHeight="1" x14ac:dyDescent="0.2">
      <c r="B700" s="10"/>
      <c r="C700" s="98" t="s">
        <v>823</v>
      </c>
      <c r="D700" s="70" t="s">
        <v>810</v>
      </c>
      <c r="E700" s="103" t="s">
        <v>21</v>
      </c>
      <c r="F700" s="75">
        <v>7473</v>
      </c>
      <c r="G700" s="73" t="s">
        <v>98</v>
      </c>
      <c r="H700" s="71" t="s">
        <v>118</v>
      </c>
      <c r="I700" s="73"/>
      <c r="J700" s="75">
        <f>I700*7473</f>
        <v>0</v>
      </c>
      <c r="K700" s="74"/>
      <c r="L700" s="11"/>
    </row>
    <row r="701" spans="2:12" s="9" customFormat="1" ht="13.5" customHeight="1" x14ac:dyDescent="0.2">
      <c r="B701" s="10"/>
      <c r="C701" s="98" t="s">
        <v>824</v>
      </c>
      <c r="D701" s="70" t="s">
        <v>810</v>
      </c>
      <c r="E701" s="103" t="s">
        <v>109</v>
      </c>
      <c r="F701" s="75">
        <v>7695</v>
      </c>
      <c r="G701" s="73" t="s">
        <v>98</v>
      </c>
      <c r="H701" s="71" t="s">
        <v>118</v>
      </c>
      <c r="I701" s="73"/>
      <c r="J701" s="75">
        <f>I701*7695</f>
        <v>0</v>
      </c>
      <c r="K701" s="74"/>
      <c r="L701" s="11"/>
    </row>
    <row r="702" spans="2:12" s="9" customFormat="1" ht="13.5" customHeight="1" x14ac:dyDescent="0.2">
      <c r="B702" s="10"/>
      <c r="C702" s="98" t="s">
        <v>825</v>
      </c>
      <c r="D702" s="70" t="s">
        <v>810</v>
      </c>
      <c r="E702" s="103" t="s">
        <v>109</v>
      </c>
      <c r="F702" s="75">
        <v>7695</v>
      </c>
      <c r="G702" s="73" t="s">
        <v>98</v>
      </c>
      <c r="H702" s="71" t="s">
        <v>118</v>
      </c>
      <c r="I702" s="73"/>
      <c r="J702" s="75">
        <f>I702*7695</f>
        <v>0</v>
      </c>
      <c r="K702" s="74"/>
      <c r="L702" s="11"/>
    </row>
    <row r="703" spans="2:12" s="9" customFormat="1" ht="13.5" customHeight="1" x14ac:dyDescent="0.2">
      <c r="B703" s="10"/>
      <c r="C703" s="98" t="s">
        <v>826</v>
      </c>
      <c r="D703" s="70" t="s">
        <v>810</v>
      </c>
      <c r="E703" s="103" t="s">
        <v>109</v>
      </c>
      <c r="F703" s="75">
        <v>7695</v>
      </c>
      <c r="G703" s="73" t="s">
        <v>98</v>
      </c>
      <c r="H703" s="71" t="s">
        <v>118</v>
      </c>
      <c r="I703" s="73"/>
      <c r="J703" s="75">
        <f>I703*7695</f>
        <v>0</v>
      </c>
      <c r="K703" s="74"/>
      <c r="L703" s="11"/>
    </row>
    <row r="704" spans="2:12" s="9" customFormat="1" ht="13.5" customHeight="1" x14ac:dyDescent="0.2">
      <c r="B704" s="10"/>
      <c r="C704" s="98" t="s">
        <v>827</v>
      </c>
      <c r="D704" s="70" t="s">
        <v>810</v>
      </c>
      <c r="E704" s="103" t="s">
        <v>21</v>
      </c>
      <c r="F704" s="75">
        <v>7753</v>
      </c>
      <c r="G704" s="73" t="s">
        <v>98</v>
      </c>
      <c r="H704" s="71" t="s">
        <v>118</v>
      </c>
      <c r="I704" s="73"/>
      <c r="J704" s="75">
        <f>I704*7753</f>
        <v>0</v>
      </c>
      <c r="K704" s="74"/>
      <c r="L704" s="11"/>
    </row>
    <row r="705" spans="2:12" s="9" customFormat="1" ht="13.5" customHeight="1" x14ac:dyDescent="0.2">
      <c r="B705" s="10"/>
      <c r="C705" s="98" t="s">
        <v>828</v>
      </c>
      <c r="D705" s="70" t="s">
        <v>810</v>
      </c>
      <c r="E705" s="103" t="s">
        <v>21</v>
      </c>
      <c r="F705" s="75">
        <v>8528</v>
      </c>
      <c r="G705" s="73" t="s">
        <v>98</v>
      </c>
      <c r="H705" s="71" t="s">
        <v>118</v>
      </c>
      <c r="I705" s="73"/>
      <c r="J705" s="75">
        <f>I705*8528</f>
        <v>0</v>
      </c>
      <c r="K705" s="74"/>
      <c r="L705" s="11"/>
    </row>
    <row r="706" spans="2:12" s="9" customFormat="1" ht="13.5" customHeight="1" x14ac:dyDescent="0.2">
      <c r="B706" s="10"/>
      <c r="C706" s="99" t="s">
        <v>829</v>
      </c>
      <c r="D706" s="76" t="s">
        <v>810</v>
      </c>
      <c r="E706" s="104" t="s">
        <v>587</v>
      </c>
      <c r="F706" s="81">
        <v>8600</v>
      </c>
      <c r="G706" s="79" t="s">
        <v>98</v>
      </c>
      <c r="H706" s="77" t="s">
        <v>118</v>
      </c>
      <c r="I706" s="79"/>
      <c r="J706" s="81">
        <f>I706*8600</f>
        <v>0</v>
      </c>
      <c r="K706" s="80"/>
      <c r="L706" s="11"/>
    </row>
    <row r="707" spans="2:12" s="9" customFormat="1" ht="13.5" customHeight="1" x14ac:dyDescent="0.2">
      <c r="B707" s="10"/>
      <c r="C707" s="99" t="s">
        <v>830</v>
      </c>
      <c r="D707" s="76" t="s">
        <v>810</v>
      </c>
      <c r="E707" s="104" t="s">
        <v>109</v>
      </c>
      <c r="F707" s="81">
        <v>8605</v>
      </c>
      <c r="G707" s="79" t="s">
        <v>98</v>
      </c>
      <c r="H707" s="77" t="s">
        <v>118</v>
      </c>
      <c r="I707" s="79"/>
      <c r="J707" s="81">
        <f>I707*8605</f>
        <v>0</v>
      </c>
      <c r="K707" s="80"/>
      <c r="L707" s="11"/>
    </row>
    <row r="708" spans="2:12" s="9" customFormat="1" ht="13.5" customHeight="1" x14ac:dyDescent="0.2">
      <c r="B708" s="10"/>
      <c r="C708" s="99" t="s">
        <v>831</v>
      </c>
      <c r="D708" s="76" t="s">
        <v>810</v>
      </c>
      <c r="E708" s="104" t="s">
        <v>109</v>
      </c>
      <c r="F708" s="81">
        <v>8655</v>
      </c>
      <c r="G708" s="79" t="s">
        <v>98</v>
      </c>
      <c r="H708" s="77" t="s">
        <v>118</v>
      </c>
      <c r="I708" s="79"/>
      <c r="J708" s="81">
        <f>I708*8655</f>
        <v>0</v>
      </c>
      <c r="K708" s="80"/>
      <c r="L708" s="11"/>
    </row>
    <row r="709" spans="2:12" s="9" customFormat="1" ht="13.5" customHeight="1" x14ac:dyDescent="0.2">
      <c r="B709" s="10"/>
      <c r="C709" s="99" t="s">
        <v>832</v>
      </c>
      <c r="D709" s="76" t="s">
        <v>810</v>
      </c>
      <c r="E709" s="104" t="s">
        <v>164</v>
      </c>
      <c r="F709" s="81">
        <v>9300</v>
      </c>
      <c r="G709" s="79" t="s">
        <v>98</v>
      </c>
      <c r="H709" s="77" t="s">
        <v>118</v>
      </c>
      <c r="I709" s="79"/>
      <c r="J709" s="81">
        <f>I709*9300</f>
        <v>0</v>
      </c>
      <c r="K709" s="80"/>
      <c r="L709" s="11"/>
    </row>
    <row r="710" spans="2:12" s="9" customFormat="1" ht="13.5" customHeight="1" x14ac:dyDescent="0.2">
      <c r="B710" s="10"/>
      <c r="C710" s="98" t="s">
        <v>833</v>
      </c>
      <c r="D710" s="70" t="s">
        <v>810</v>
      </c>
      <c r="E710" s="103" t="s">
        <v>164</v>
      </c>
      <c r="F710" s="75">
        <v>11200</v>
      </c>
      <c r="G710" s="73" t="s">
        <v>98</v>
      </c>
      <c r="H710" s="71" t="s">
        <v>118</v>
      </c>
      <c r="I710" s="73"/>
      <c r="J710" s="75">
        <f>I710*11200</f>
        <v>0</v>
      </c>
      <c r="K710" s="74"/>
      <c r="L710" s="11"/>
    </row>
    <row r="711" spans="2:12" s="9" customFormat="1" ht="13.5" customHeight="1" x14ac:dyDescent="0.2">
      <c r="B711" s="10"/>
      <c r="C711" s="98" t="s">
        <v>834</v>
      </c>
      <c r="D711" s="70" t="s">
        <v>835</v>
      </c>
      <c r="E711" s="103" t="s">
        <v>25</v>
      </c>
      <c r="F711" s="75">
        <v>8908</v>
      </c>
      <c r="G711" s="73" t="s">
        <v>98</v>
      </c>
      <c r="H711" s="71" t="s">
        <v>118</v>
      </c>
      <c r="I711" s="73"/>
      <c r="J711" s="75">
        <f>I711*8908</f>
        <v>0</v>
      </c>
      <c r="K711" s="74"/>
      <c r="L711" s="11"/>
    </row>
    <row r="712" spans="2:12" s="9" customFormat="1" ht="13.5" customHeight="1" x14ac:dyDescent="0.2">
      <c r="B712" s="10"/>
      <c r="C712" s="98" t="s">
        <v>836</v>
      </c>
      <c r="D712" s="70" t="s">
        <v>837</v>
      </c>
      <c r="E712" s="103" t="s">
        <v>164</v>
      </c>
      <c r="F712" s="75">
        <v>14200</v>
      </c>
      <c r="G712" s="73" t="s">
        <v>98</v>
      </c>
      <c r="H712" s="71" t="s">
        <v>118</v>
      </c>
      <c r="I712" s="73"/>
      <c r="J712" s="75">
        <f>I712*14200</f>
        <v>0</v>
      </c>
      <c r="K712" s="74"/>
      <c r="L712" s="11"/>
    </row>
    <row r="713" spans="2:12" s="9" customFormat="1" ht="13.5" customHeight="1" x14ac:dyDescent="0.2">
      <c r="B713" s="10"/>
      <c r="C713" s="98" t="s">
        <v>838</v>
      </c>
      <c r="D713" s="70" t="s">
        <v>839</v>
      </c>
      <c r="E713" s="103" t="s">
        <v>299</v>
      </c>
      <c r="F713" s="75">
        <v>9207</v>
      </c>
      <c r="G713" s="73" t="s">
        <v>98</v>
      </c>
      <c r="H713" s="71" t="s">
        <v>118</v>
      </c>
      <c r="I713" s="73"/>
      <c r="J713" s="75">
        <f>I713*9207</f>
        <v>0</v>
      </c>
      <c r="K713" s="74"/>
      <c r="L713" s="11"/>
    </row>
    <row r="714" spans="2:12" s="9" customFormat="1" ht="30" customHeight="1" x14ac:dyDescent="0.3">
      <c r="B714" s="10"/>
      <c r="C714" s="88" t="s">
        <v>483</v>
      </c>
      <c r="D714" s="89"/>
      <c r="E714" s="106"/>
      <c r="F714" s="89"/>
      <c r="G714" s="90"/>
      <c r="H714" s="89"/>
      <c r="I714" s="89"/>
      <c r="J714" s="89"/>
      <c r="K714" s="91"/>
      <c r="L714" s="10"/>
    </row>
    <row r="715" spans="2:12" s="9" customFormat="1" ht="13.5" customHeight="1" x14ac:dyDescent="0.2">
      <c r="B715" s="10"/>
      <c r="C715" s="98" t="s">
        <v>840</v>
      </c>
      <c r="D715" s="70" t="s">
        <v>841</v>
      </c>
      <c r="E715" s="103" t="s">
        <v>109</v>
      </c>
      <c r="F715" s="75">
        <v>1460</v>
      </c>
      <c r="G715" s="73" t="s">
        <v>98</v>
      </c>
      <c r="H715" s="71" t="s">
        <v>118</v>
      </c>
      <c r="I715" s="73"/>
      <c r="J715" s="75">
        <f>I715*1460</f>
        <v>0</v>
      </c>
      <c r="K715" s="74"/>
      <c r="L715" s="11"/>
    </row>
    <row r="716" spans="2:12" s="9" customFormat="1" ht="13.5" customHeight="1" x14ac:dyDescent="0.2">
      <c r="B716" s="10"/>
      <c r="C716" s="98" t="s">
        <v>842</v>
      </c>
      <c r="D716" s="70" t="s">
        <v>843</v>
      </c>
      <c r="E716" s="103" t="s">
        <v>587</v>
      </c>
      <c r="F716" s="75">
        <v>1590</v>
      </c>
      <c r="G716" s="73" t="s">
        <v>98</v>
      </c>
      <c r="H716" s="71" t="s">
        <v>118</v>
      </c>
      <c r="I716" s="73"/>
      <c r="J716" s="75">
        <f>I716*1590</f>
        <v>0</v>
      </c>
      <c r="K716" s="74"/>
      <c r="L716" s="11"/>
    </row>
    <row r="717" spans="2:12" s="9" customFormat="1" ht="13.5" customHeight="1" x14ac:dyDescent="0.2">
      <c r="B717" s="10"/>
      <c r="C717" s="98" t="s">
        <v>844</v>
      </c>
      <c r="D717" s="70" t="s">
        <v>843</v>
      </c>
      <c r="E717" s="103" t="s">
        <v>587</v>
      </c>
      <c r="F717" s="75">
        <v>1785</v>
      </c>
      <c r="G717" s="73" t="s">
        <v>98</v>
      </c>
      <c r="H717" s="71" t="s">
        <v>118</v>
      </c>
      <c r="I717" s="73"/>
      <c r="J717" s="75">
        <f>I717*1785</f>
        <v>0</v>
      </c>
      <c r="K717" s="74"/>
      <c r="L717" s="11"/>
    </row>
    <row r="718" spans="2:12" s="9" customFormat="1" ht="13.5" customHeight="1" x14ac:dyDescent="0.2">
      <c r="B718" s="10"/>
      <c r="C718" s="98" t="s">
        <v>845</v>
      </c>
      <c r="D718" s="70" t="s">
        <v>843</v>
      </c>
      <c r="E718" s="103" t="s">
        <v>109</v>
      </c>
      <c r="F718" s="75">
        <v>1790</v>
      </c>
      <c r="G718" s="73" t="s">
        <v>98</v>
      </c>
      <c r="H718" s="71" t="s">
        <v>118</v>
      </c>
      <c r="I718" s="73"/>
      <c r="J718" s="75">
        <f>I718*1790</f>
        <v>0</v>
      </c>
      <c r="K718" s="74"/>
      <c r="L718" s="11"/>
    </row>
    <row r="719" spans="2:12" s="9" customFormat="1" ht="13.5" customHeight="1" x14ac:dyDescent="0.2">
      <c r="B719" s="10"/>
      <c r="C719" s="98" t="s">
        <v>846</v>
      </c>
      <c r="D719" s="70" t="s">
        <v>847</v>
      </c>
      <c r="E719" s="103" t="s">
        <v>109</v>
      </c>
      <c r="F719" s="75">
        <v>2250</v>
      </c>
      <c r="G719" s="73" t="s">
        <v>98</v>
      </c>
      <c r="H719" s="71" t="s">
        <v>118</v>
      </c>
      <c r="I719" s="73"/>
      <c r="J719" s="75">
        <f>I719*2250</f>
        <v>0</v>
      </c>
      <c r="K719" s="74"/>
      <c r="L719" s="11"/>
    </row>
    <row r="720" spans="2:12" s="9" customFormat="1" ht="13.5" customHeight="1" x14ac:dyDescent="0.2">
      <c r="B720" s="10"/>
      <c r="C720" s="98" t="s">
        <v>848</v>
      </c>
      <c r="D720" s="70" t="s">
        <v>847</v>
      </c>
      <c r="E720" s="103" t="s">
        <v>109</v>
      </c>
      <c r="F720" s="75">
        <v>2250</v>
      </c>
      <c r="G720" s="73" t="s">
        <v>98</v>
      </c>
      <c r="H720" s="71" t="s">
        <v>118</v>
      </c>
      <c r="I720" s="73"/>
      <c r="J720" s="75">
        <f>I720*2250</f>
        <v>0</v>
      </c>
      <c r="K720" s="74"/>
      <c r="L720" s="11"/>
    </row>
    <row r="721" spans="2:12" s="9" customFormat="1" ht="13.5" customHeight="1" x14ac:dyDescent="0.2">
      <c r="B721" s="10"/>
      <c r="C721" s="98" t="s">
        <v>849</v>
      </c>
      <c r="D721" s="70" t="s">
        <v>847</v>
      </c>
      <c r="E721" s="103" t="s">
        <v>109</v>
      </c>
      <c r="F721" s="75">
        <v>2250</v>
      </c>
      <c r="G721" s="73" t="s">
        <v>98</v>
      </c>
      <c r="H721" s="71" t="s">
        <v>118</v>
      </c>
      <c r="I721" s="73"/>
      <c r="J721" s="75">
        <f>I721*2250</f>
        <v>0</v>
      </c>
      <c r="K721" s="74"/>
      <c r="L721" s="11"/>
    </row>
    <row r="722" spans="2:12" s="9" customFormat="1" ht="13.5" customHeight="1" x14ac:dyDescent="0.2">
      <c r="B722" s="10"/>
      <c r="C722" s="98" t="s">
        <v>850</v>
      </c>
      <c r="D722" s="70" t="s">
        <v>847</v>
      </c>
      <c r="E722" s="103" t="s">
        <v>21</v>
      </c>
      <c r="F722" s="75">
        <v>3252</v>
      </c>
      <c r="G722" s="73" t="s">
        <v>98</v>
      </c>
      <c r="H722" s="71" t="s">
        <v>118</v>
      </c>
      <c r="I722" s="73"/>
      <c r="J722" s="75">
        <f>I722*3252</f>
        <v>0</v>
      </c>
      <c r="K722" s="74"/>
      <c r="L722" s="11"/>
    </row>
    <row r="723" spans="2:12" s="9" customFormat="1" ht="13.5" customHeight="1" x14ac:dyDescent="0.2">
      <c r="B723" s="10"/>
      <c r="C723" s="98" t="s">
        <v>851</v>
      </c>
      <c r="D723" s="70" t="s">
        <v>852</v>
      </c>
      <c r="E723" s="103" t="s">
        <v>587</v>
      </c>
      <c r="F723" s="75">
        <v>3125</v>
      </c>
      <c r="G723" s="73" t="s">
        <v>98</v>
      </c>
      <c r="H723" s="71" t="s">
        <v>118</v>
      </c>
      <c r="I723" s="73"/>
      <c r="J723" s="75">
        <f>I723*3125</f>
        <v>0</v>
      </c>
      <c r="K723" s="74"/>
      <c r="L723" s="11"/>
    </row>
    <row r="724" spans="2:12" s="9" customFormat="1" ht="13.5" customHeight="1" x14ac:dyDescent="0.2">
      <c r="B724" s="10"/>
      <c r="C724" s="98" t="s">
        <v>853</v>
      </c>
      <c r="D724" s="70" t="s">
        <v>852</v>
      </c>
      <c r="E724" s="103" t="s">
        <v>109</v>
      </c>
      <c r="F724" s="75">
        <v>3125</v>
      </c>
      <c r="G724" s="73" t="s">
        <v>98</v>
      </c>
      <c r="H724" s="71" t="s">
        <v>118</v>
      </c>
      <c r="I724" s="73"/>
      <c r="J724" s="75">
        <f>I724*3125</f>
        <v>0</v>
      </c>
      <c r="K724" s="74"/>
      <c r="L724" s="11"/>
    </row>
    <row r="725" spans="2:12" s="9" customFormat="1" ht="13.5" customHeight="1" x14ac:dyDescent="0.2">
      <c r="B725" s="10"/>
      <c r="C725" s="98" t="s">
        <v>854</v>
      </c>
      <c r="D725" s="70" t="s">
        <v>855</v>
      </c>
      <c r="E725" s="103" t="s">
        <v>587</v>
      </c>
      <c r="F725" s="75">
        <v>3985</v>
      </c>
      <c r="G725" s="73" t="s">
        <v>98</v>
      </c>
      <c r="H725" s="71" t="s">
        <v>118</v>
      </c>
      <c r="I725" s="73"/>
      <c r="J725" s="75">
        <f>I725*3985</f>
        <v>0</v>
      </c>
      <c r="K725" s="74"/>
      <c r="L725" s="11"/>
    </row>
    <row r="726" spans="2:12" s="9" customFormat="1" ht="13.5" customHeight="1" x14ac:dyDescent="0.2">
      <c r="B726" s="10"/>
      <c r="C726" s="98" t="s">
        <v>856</v>
      </c>
      <c r="D726" s="70" t="s">
        <v>855</v>
      </c>
      <c r="E726" s="103" t="s">
        <v>109</v>
      </c>
      <c r="F726" s="75">
        <v>4240</v>
      </c>
      <c r="G726" s="73" t="s">
        <v>98</v>
      </c>
      <c r="H726" s="71" t="s">
        <v>118</v>
      </c>
      <c r="I726" s="73"/>
      <c r="J726" s="75">
        <f>I726*4240</f>
        <v>0</v>
      </c>
      <c r="K726" s="74"/>
      <c r="L726" s="11"/>
    </row>
    <row r="727" spans="2:12" s="9" customFormat="1" ht="13.5" customHeight="1" x14ac:dyDescent="0.2">
      <c r="B727" s="10"/>
      <c r="C727" s="98" t="s">
        <v>857</v>
      </c>
      <c r="D727" s="70" t="s">
        <v>855</v>
      </c>
      <c r="E727" s="103" t="s">
        <v>21</v>
      </c>
      <c r="F727" s="75">
        <v>6291</v>
      </c>
      <c r="G727" s="73" t="s">
        <v>98</v>
      </c>
      <c r="H727" s="71" t="s">
        <v>118</v>
      </c>
      <c r="I727" s="73"/>
      <c r="J727" s="75">
        <f>I727*6291</f>
        <v>0</v>
      </c>
      <c r="K727" s="74"/>
      <c r="L727" s="11"/>
    </row>
    <row r="728" spans="2:12" s="9" customFormat="1" ht="13.5" customHeight="1" x14ac:dyDescent="0.2">
      <c r="B728" s="10"/>
      <c r="C728" s="98" t="s">
        <v>858</v>
      </c>
      <c r="D728" s="70" t="s">
        <v>859</v>
      </c>
      <c r="E728" s="103" t="s">
        <v>587</v>
      </c>
      <c r="F728" s="75">
        <v>8655</v>
      </c>
      <c r="G728" s="73" t="s">
        <v>98</v>
      </c>
      <c r="H728" s="71" t="s">
        <v>118</v>
      </c>
      <c r="I728" s="73"/>
      <c r="J728" s="75">
        <f>I728*8655</f>
        <v>0</v>
      </c>
      <c r="K728" s="74"/>
      <c r="L728" s="11"/>
    </row>
    <row r="729" spans="2:12" s="9" customFormat="1" ht="30" customHeight="1" x14ac:dyDescent="0.3">
      <c r="B729" s="10"/>
      <c r="C729" s="88" t="s">
        <v>491</v>
      </c>
      <c r="D729" s="89"/>
      <c r="E729" s="106"/>
      <c r="F729" s="89"/>
      <c r="G729" s="90"/>
      <c r="H729" s="89"/>
      <c r="I729" s="89"/>
      <c r="J729" s="89"/>
      <c r="K729" s="91"/>
      <c r="L729" s="10"/>
    </row>
    <row r="730" spans="2:12" s="9" customFormat="1" ht="13.5" customHeight="1" x14ac:dyDescent="0.2">
      <c r="B730" s="10"/>
      <c r="C730" s="98" t="s">
        <v>860</v>
      </c>
      <c r="D730" s="70" t="s">
        <v>518</v>
      </c>
      <c r="E730" s="103" t="s">
        <v>587</v>
      </c>
      <c r="F730" s="75">
        <v>1100</v>
      </c>
      <c r="G730" s="73" t="s">
        <v>98</v>
      </c>
      <c r="H730" s="71" t="s">
        <v>118</v>
      </c>
      <c r="I730" s="73"/>
      <c r="J730" s="75">
        <f>I730*1100</f>
        <v>0</v>
      </c>
      <c r="K730" s="74"/>
      <c r="L730" s="11"/>
    </row>
    <row r="731" spans="2:12" s="9" customFormat="1" ht="13.5" customHeight="1" x14ac:dyDescent="0.2">
      <c r="B731" s="10"/>
      <c r="C731" s="98" t="s">
        <v>861</v>
      </c>
      <c r="D731" s="70" t="s">
        <v>862</v>
      </c>
      <c r="E731" s="103" t="s">
        <v>25</v>
      </c>
      <c r="F731" s="75">
        <v>1290</v>
      </c>
      <c r="G731" s="73" t="s">
        <v>98</v>
      </c>
      <c r="H731" s="71" t="s">
        <v>118</v>
      </c>
      <c r="I731" s="73"/>
      <c r="J731" s="75">
        <f>I731*1290</f>
        <v>0</v>
      </c>
      <c r="K731" s="74"/>
      <c r="L731" s="11"/>
    </row>
    <row r="732" spans="2:12" s="9" customFormat="1" ht="13.5" customHeight="1" x14ac:dyDescent="0.2">
      <c r="B732" s="10"/>
      <c r="C732" s="98" t="s">
        <v>863</v>
      </c>
      <c r="D732" s="70" t="s">
        <v>862</v>
      </c>
      <c r="E732" s="103" t="s">
        <v>587</v>
      </c>
      <c r="F732" s="75">
        <v>1365</v>
      </c>
      <c r="G732" s="73" t="s">
        <v>98</v>
      </c>
      <c r="H732" s="71" t="s">
        <v>118</v>
      </c>
      <c r="I732" s="73"/>
      <c r="J732" s="75">
        <f>I732*1365</f>
        <v>0</v>
      </c>
      <c r="K732" s="74"/>
      <c r="L732" s="11"/>
    </row>
    <row r="733" spans="2:12" s="9" customFormat="1" ht="13.5" customHeight="1" x14ac:dyDescent="0.2">
      <c r="B733" s="10"/>
      <c r="C733" s="98" t="s">
        <v>864</v>
      </c>
      <c r="D733" s="70" t="s">
        <v>862</v>
      </c>
      <c r="E733" s="103" t="s">
        <v>158</v>
      </c>
      <c r="F733" s="75">
        <v>1490</v>
      </c>
      <c r="G733" s="73" t="s">
        <v>98</v>
      </c>
      <c r="H733" s="71" t="s">
        <v>118</v>
      </c>
      <c r="I733" s="73"/>
      <c r="J733" s="75">
        <f>I733*1490</f>
        <v>0</v>
      </c>
      <c r="K733" s="74"/>
      <c r="L733" s="11"/>
    </row>
    <row r="734" spans="2:12" s="9" customFormat="1" ht="13.5" customHeight="1" x14ac:dyDescent="0.2">
      <c r="B734" s="10"/>
      <c r="C734" s="98" t="s">
        <v>865</v>
      </c>
      <c r="D734" s="70" t="s">
        <v>862</v>
      </c>
      <c r="E734" s="103" t="s">
        <v>158</v>
      </c>
      <c r="F734" s="75">
        <v>1490</v>
      </c>
      <c r="G734" s="73" t="s">
        <v>98</v>
      </c>
      <c r="H734" s="71" t="s">
        <v>118</v>
      </c>
      <c r="I734" s="73"/>
      <c r="J734" s="75">
        <f>I734*1490</f>
        <v>0</v>
      </c>
      <c r="K734" s="74"/>
      <c r="L734" s="11"/>
    </row>
    <row r="735" spans="2:12" s="9" customFormat="1" ht="13.5" customHeight="1" x14ac:dyDescent="0.2">
      <c r="B735" s="10"/>
      <c r="C735" s="98" t="s">
        <v>866</v>
      </c>
      <c r="D735" s="70" t="s">
        <v>862</v>
      </c>
      <c r="E735" s="103" t="s">
        <v>21</v>
      </c>
      <c r="F735" s="75">
        <v>1566</v>
      </c>
      <c r="G735" s="73" t="s">
        <v>98</v>
      </c>
      <c r="H735" s="71" t="s">
        <v>118</v>
      </c>
      <c r="I735" s="73"/>
      <c r="J735" s="75">
        <f>I735*1566</f>
        <v>0</v>
      </c>
      <c r="K735" s="74"/>
      <c r="L735" s="11"/>
    </row>
    <row r="736" spans="2:12" s="9" customFormat="1" ht="13.5" customHeight="1" x14ac:dyDescent="0.2">
      <c r="B736" s="10"/>
      <c r="C736" s="100" t="s">
        <v>867</v>
      </c>
      <c r="D736" s="82" t="s">
        <v>868</v>
      </c>
      <c r="E736" s="105" t="s">
        <v>299</v>
      </c>
      <c r="F736" s="87">
        <v>1155</v>
      </c>
      <c r="G736" s="85" t="s">
        <v>98</v>
      </c>
      <c r="H736" s="83" t="s">
        <v>118</v>
      </c>
      <c r="I736" s="85"/>
      <c r="J736" s="87">
        <f>I736*1155</f>
        <v>0</v>
      </c>
      <c r="K736" s="86"/>
      <c r="L736" s="11"/>
    </row>
    <row r="737" spans="2:12" s="9" customFormat="1" ht="13.5" customHeight="1" x14ac:dyDescent="0.2">
      <c r="B737" s="10"/>
      <c r="C737" s="100" t="s">
        <v>869</v>
      </c>
      <c r="D737" s="82" t="s">
        <v>868</v>
      </c>
      <c r="E737" s="105" t="s">
        <v>164</v>
      </c>
      <c r="F737" s="87">
        <v>1416</v>
      </c>
      <c r="G737" s="85" t="s">
        <v>98</v>
      </c>
      <c r="H737" s="83" t="s">
        <v>118</v>
      </c>
      <c r="I737" s="85"/>
      <c r="J737" s="87">
        <f>I737*1416</f>
        <v>0</v>
      </c>
      <c r="K737" s="86"/>
      <c r="L737" s="11"/>
    </row>
    <row r="738" spans="2:12" s="9" customFormat="1" ht="13.5" customHeight="1" x14ac:dyDescent="0.2">
      <c r="B738" s="10"/>
      <c r="C738" s="100" t="s">
        <v>870</v>
      </c>
      <c r="D738" s="82" t="s">
        <v>868</v>
      </c>
      <c r="E738" s="105" t="s">
        <v>25</v>
      </c>
      <c r="F738" s="87">
        <v>1462.44</v>
      </c>
      <c r="G738" s="85" t="s">
        <v>98</v>
      </c>
      <c r="H738" s="83" t="s">
        <v>118</v>
      </c>
      <c r="I738" s="85"/>
      <c r="J738" s="87">
        <f>I738*1462.44</f>
        <v>0</v>
      </c>
      <c r="K738" s="86"/>
      <c r="L738" s="11"/>
    </row>
    <row r="739" spans="2:12" s="9" customFormat="1" ht="13.5" customHeight="1" x14ac:dyDescent="0.2">
      <c r="B739" s="10"/>
      <c r="C739" s="100" t="s">
        <v>871</v>
      </c>
      <c r="D739" s="82" t="s">
        <v>868</v>
      </c>
      <c r="E739" s="105" t="s">
        <v>299</v>
      </c>
      <c r="F739" s="87">
        <v>1477</v>
      </c>
      <c r="G739" s="85" t="s">
        <v>98</v>
      </c>
      <c r="H739" s="83" t="s">
        <v>118</v>
      </c>
      <c r="I739" s="85"/>
      <c r="J739" s="87">
        <f>I739*1477</f>
        <v>0</v>
      </c>
      <c r="K739" s="86"/>
      <c r="L739" s="11"/>
    </row>
    <row r="740" spans="2:12" s="9" customFormat="1" ht="13.5" customHeight="1" x14ac:dyDescent="0.2">
      <c r="B740" s="10"/>
      <c r="C740" s="98" t="s">
        <v>872</v>
      </c>
      <c r="D740" s="70" t="s">
        <v>868</v>
      </c>
      <c r="E740" s="103" t="s">
        <v>25</v>
      </c>
      <c r="F740" s="75">
        <v>1632</v>
      </c>
      <c r="G740" s="73" t="s">
        <v>98</v>
      </c>
      <c r="H740" s="71" t="s">
        <v>118</v>
      </c>
      <c r="I740" s="73"/>
      <c r="J740" s="75">
        <f>I740*1632</f>
        <v>0</v>
      </c>
      <c r="K740" s="74"/>
      <c r="L740" s="11"/>
    </row>
    <row r="741" spans="2:12" s="9" customFormat="1" ht="13.5" customHeight="1" x14ac:dyDescent="0.2">
      <c r="B741" s="10"/>
      <c r="C741" s="98" t="s">
        <v>873</v>
      </c>
      <c r="D741" s="70" t="s">
        <v>868</v>
      </c>
      <c r="E741" s="103" t="s">
        <v>164</v>
      </c>
      <c r="F741" s="75">
        <v>1740</v>
      </c>
      <c r="G741" s="73" t="s">
        <v>98</v>
      </c>
      <c r="H741" s="71" t="s">
        <v>118</v>
      </c>
      <c r="I741" s="73"/>
      <c r="J741" s="75">
        <f>I741*1740</f>
        <v>0</v>
      </c>
      <c r="K741" s="74"/>
      <c r="L741" s="11"/>
    </row>
    <row r="742" spans="2:12" s="9" customFormat="1" ht="13.5" customHeight="1" x14ac:dyDescent="0.2">
      <c r="B742" s="10"/>
      <c r="C742" s="98" t="s">
        <v>874</v>
      </c>
      <c r="D742" s="70" t="s">
        <v>868</v>
      </c>
      <c r="E742" s="103" t="s">
        <v>164</v>
      </c>
      <c r="F742" s="75">
        <v>1780</v>
      </c>
      <c r="G742" s="73" t="s">
        <v>98</v>
      </c>
      <c r="H742" s="71" t="s">
        <v>118</v>
      </c>
      <c r="I742" s="73"/>
      <c r="J742" s="75">
        <f>I742*1780</f>
        <v>0</v>
      </c>
      <c r="K742" s="74"/>
      <c r="L742" s="11"/>
    </row>
    <row r="743" spans="2:12" s="9" customFormat="1" ht="13.5" customHeight="1" x14ac:dyDescent="0.2">
      <c r="B743" s="10"/>
      <c r="C743" s="98" t="s">
        <v>875</v>
      </c>
      <c r="D743" s="70" t="s">
        <v>868</v>
      </c>
      <c r="E743" s="103" t="s">
        <v>158</v>
      </c>
      <c r="F743" s="75">
        <v>1790</v>
      </c>
      <c r="G743" s="73" t="s">
        <v>98</v>
      </c>
      <c r="H743" s="71" t="s">
        <v>118</v>
      </c>
      <c r="I743" s="73"/>
      <c r="J743" s="75">
        <f>I743*1790</f>
        <v>0</v>
      </c>
      <c r="K743" s="74"/>
      <c r="L743" s="11"/>
    </row>
    <row r="744" spans="2:12" s="9" customFormat="1" ht="13.5" customHeight="1" x14ac:dyDescent="0.2">
      <c r="B744" s="10"/>
      <c r="C744" s="98" t="s">
        <v>876</v>
      </c>
      <c r="D744" s="70" t="s">
        <v>868</v>
      </c>
      <c r="E744" s="103" t="s">
        <v>21</v>
      </c>
      <c r="F744" s="75">
        <v>1848</v>
      </c>
      <c r="G744" s="73" t="s">
        <v>98</v>
      </c>
      <c r="H744" s="71" t="s">
        <v>118</v>
      </c>
      <c r="I744" s="73"/>
      <c r="J744" s="75">
        <f>I744*1848</f>
        <v>0</v>
      </c>
      <c r="K744" s="74"/>
      <c r="L744" s="11"/>
    </row>
    <row r="745" spans="2:12" s="9" customFormat="1" ht="13.5" customHeight="1" x14ac:dyDescent="0.2">
      <c r="B745" s="10"/>
      <c r="C745" s="98" t="s">
        <v>877</v>
      </c>
      <c r="D745" s="70" t="s">
        <v>868</v>
      </c>
      <c r="E745" s="103" t="s">
        <v>164</v>
      </c>
      <c r="F745" s="75">
        <v>2016</v>
      </c>
      <c r="G745" s="73" t="s">
        <v>98</v>
      </c>
      <c r="H745" s="71" t="s">
        <v>118</v>
      </c>
      <c r="I745" s="73"/>
      <c r="J745" s="75">
        <f>I745*2016</f>
        <v>0</v>
      </c>
      <c r="K745" s="74"/>
      <c r="L745" s="11"/>
    </row>
    <row r="746" spans="2:12" s="9" customFormat="1" ht="13.5" customHeight="1" x14ac:dyDescent="0.2">
      <c r="B746" s="10"/>
      <c r="C746" s="98" t="s">
        <v>878</v>
      </c>
      <c r="D746" s="70" t="s">
        <v>868</v>
      </c>
      <c r="E746" s="103" t="s">
        <v>314</v>
      </c>
      <c r="F746" s="75">
        <v>2016</v>
      </c>
      <c r="G746" s="73" t="s">
        <v>98</v>
      </c>
      <c r="H746" s="71" t="s">
        <v>118</v>
      </c>
      <c r="I746" s="73"/>
      <c r="J746" s="75">
        <f>I746*2016</f>
        <v>0</v>
      </c>
      <c r="K746" s="74"/>
      <c r="L746" s="11"/>
    </row>
    <row r="747" spans="2:12" s="9" customFormat="1" ht="13.5" customHeight="1" x14ac:dyDescent="0.2">
      <c r="B747" s="10"/>
      <c r="C747" s="98" t="s">
        <v>879</v>
      </c>
      <c r="D747" s="70" t="s">
        <v>868</v>
      </c>
      <c r="E747" s="103" t="s">
        <v>21</v>
      </c>
      <c r="F747" s="75">
        <v>2217</v>
      </c>
      <c r="G747" s="73" t="s">
        <v>98</v>
      </c>
      <c r="H747" s="71" t="s">
        <v>118</v>
      </c>
      <c r="I747" s="73"/>
      <c r="J747" s="75">
        <f>I747*2217</f>
        <v>0</v>
      </c>
      <c r="K747" s="74"/>
      <c r="L747" s="11"/>
    </row>
    <row r="748" spans="2:12" s="9" customFormat="1" ht="13.5" customHeight="1" x14ac:dyDescent="0.2">
      <c r="B748" s="10"/>
      <c r="C748" s="98" t="s">
        <v>880</v>
      </c>
      <c r="D748" s="70" t="s">
        <v>868</v>
      </c>
      <c r="E748" s="103" t="s">
        <v>21</v>
      </c>
      <c r="F748" s="75">
        <v>2338</v>
      </c>
      <c r="G748" s="73" t="s">
        <v>98</v>
      </c>
      <c r="H748" s="71" t="s">
        <v>118</v>
      </c>
      <c r="I748" s="73"/>
      <c r="J748" s="75">
        <f>I748*2338</f>
        <v>0</v>
      </c>
      <c r="K748" s="74"/>
      <c r="L748" s="11"/>
    </row>
    <row r="749" spans="2:12" s="9" customFormat="1" ht="13.5" customHeight="1" x14ac:dyDescent="0.2">
      <c r="B749" s="10"/>
      <c r="C749" s="100" t="s">
        <v>881</v>
      </c>
      <c r="D749" s="82" t="s">
        <v>882</v>
      </c>
      <c r="E749" s="105" t="s">
        <v>299</v>
      </c>
      <c r="F749" s="87">
        <v>1565</v>
      </c>
      <c r="G749" s="85" t="s">
        <v>98</v>
      </c>
      <c r="H749" s="83" t="s">
        <v>118</v>
      </c>
      <c r="I749" s="85"/>
      <c r="J749" s="87">
        <f>I749*1565</f>
        <v>0</v>
      </c>
      <c r="K749" s="86"/>
      <c r="L749" s="11"/>
    </row>
    <row r="750" spans="2:12" s="9" customFormat="1" ht="13.5" customHeight="1" x14ac:dyDescent="0.2">
      <c r="B750" s="10"/>
      <c r="C750" s="100" t="s">
        <v>883</v>
      </c>
      <c r="D750" s="82" t="s">
        <v>882</v>
      </c>
      <c r="E750" s="105" t="s">
        <v>299</v>
      </c>
      <c r="F750" s="87">
        <v>1565</v>
      </c>
      <c r="G750" s="85" t="s">
        <v>98</v>
      </c>
      <c r="H750" s="83" t="s">
        <v>118</v>
      </c>
      <c r="I750" s="85"/>
      <c r="J750" s="87">
        <f>I750*1565</f>
        <v>0</v>
      </c>
      <c r="K750" s="86"/>
      <c r="L750" s="11"/>
    </row>
    <row r="751" spans="2:12" s="9" customFormat="1" ht="13.5" customHeight="1" x14ac:dyDescent="0.2">
      <c r="B751" s="10"/>
      <c r="C751" s="100" t="s">
        <v>884</v>
      </c>
      <c r="D751" s="82" t="s">
        <v>882</v>
      </c>
      <c r="E751" s="105" t="s">
        <v>25</v>
      </c>
      <c r="F751" s="87">
        <v>2026</v>
      </c>
      <c r="G751" s="85" t="s">
        <v>98</v>
      </c>
      <c r="H751" s="83" t="s">
        <v>118</v>
      </c>
      <c r="I751" s="85"/>
      <c r="J751" s="87">
        <f>I751*2026</f>
        <v>0</v>
      </c>
      <c r="K751" s="86"/>
      <c r="L751" s="11"/>
    </row>
    <row r="752" spans="2:12" s="9" customFormat="1" ht="13.5" customHeight="1" x14ac:dyDescent="0.2">
      <c r="B752" s="10"/>
      <c r="C752" s="100" t="s">
        <v>885</v>
      </c>
      <c r="D752" s="82" t="s">
        <v>882</v>
      </c>
      <c r="E752" s="105" t="s">
        <v>25</v>
      </c>
      <c r="F752" s="87">
        <v>2053</v>
      </c>
      <c r="G752" s="85" t="s">
        <v>98</v>
      </c>
      <c r="H752" s="83" t="s">
        <v>118</v>
      </c>
      <c r="I752" s="85"/>
      <c r="J752" s="87">
        <f>I752*2053</f>
        <v>0</v>
      </c>
      <c r="K752" s="86"/>
      <c r="L752" s="11"/>
    </row>
    <row r="753" spans="2:12" s="9" customFormat="1" ht="13.5" customHeight="1" x14ac:dyDescent="0.2">
      <c r="B753" s="10"/>
      <c r="C753" s="98" t="s">
        <v>886</v>
      </c>
      <c r="D753" s="70" t="s">
        <v>882</v>
      </c>
      <c r="E753" s="103" t="s">
        <v>164</v>
      </c>
      <c r="F753" s="75">
        <v>2120</v>
      </c>
      <c r="G753" s="73" t="s">
        <v>98</v>
      </c>
      <c r="H753" s="71" t="s">
        <v>118</v>
      </c>
      <c r="I753" s="73"/>
      <c r="J753" s="75">
        <f>I753*2120</f>
        <v>0</v>
      </c>
      <c r="K753" s="74"/>
      <c r="L753" s="11"/>
    </row>
    <row r="754" spans="2:12" s="9" customFormat="1" ht="13.5" customHeight="1" x14ac:dyDescent="0.2">
      <c r="B754" s="10"/>
      <c r="C754" s="98" t="s">
        <v>887</v>
      </c>
      <c r="D754" s="70" t="s">
        <v>882</v>
      </c>
      <c r="E754" s="103" t="s">
        <v>314</v>
      </c>
      <c r="F754" s="75">
        <v>2120</v>
      </c>
      <c r="G754" s="73" t="s">
        <v>98</v>
      </c>
      <c r="H754" s="71" t="s">
        <v>118</v>
      </c>
      <c r="I754" s="73"/>
      <c r="J754" s="75">
        <f>I754*2120</f>
        <v>0</v>
      </c>
      <c r="K754" s="74"/>
      <c r="L754" s="11"/>
    </row>
    <row r="755" spans="2:12" s="9" customFormat="1" ht="13.5" customHeight="1" x14ac:dyDescent="0.2">
      <c r="B755" s="10"/>
      <c r="C755" s="98" t="s">
        <v>888</v>
      </c>
      <c r="D755" s="70" t="s">
        <v>882</v>
      </c>
      <c r="E755" s="103" t="s">
        <v>164</v>
      </c>
      <c r="F755" s="75">
        <v>2395</v>
      </c>
      <c r="G755" s="73" t="s">
        <v>98</v>
      </c>
      <c r="H755" s="71" t="s">
        <v>118</v>
      </c>
      <c r="I755" s="73"/>
      <c r="J755" s="75">
        <f>I755*2395</f>
        <v>0</v>
      </c>
      <c r="K755" s="74"/>
      <c r="L755" s="11"/>
    </row>
    <row r="756" spans="2:12" s="9" customFormat="1" ht="13.5" customHeight="1" x14ac:dyDescent="0.2">
      <c r="B756" s="10"/>
      <c r="C756" s="98" t="s">
        <v>889</v>
      </c>
      <c r="D756" s="70" t="s">
        <v>882</v>
      </c>
      <c r="E756" s="103" t="s">
        <v>21</v>
      </c>
      <c r="F756" s="75">
        <v>2628</v>
      </c>
      <c r="G756" s="73" t="s">
        <v>98</v>
      </c>
      <c r="H756" s="71" t="s">
        <v>118</v>
      </c>
      <c r="I756" s="73"/>
      <c r="J756" s="75">
        <f>I756*2628</f>
        <v>0</v>
      </c>
      <c r="K756" s="74"/>
      <c r="L756" s="11"/>
    </row>
    <row r="757" spans="2:12" s="9" customFormat="1" ht="13.5" customHeight="1" x14ac:dyDescent="0.2">
      <c r="B757" s="10"/>
      <c r="C757" s="98" t="s">
        <v>890</v>
      </c>
      <c r="D757" s="70" t="s">
        <v>882</v>
      </c>
      <c r="E757" s="103" t="s">
        <v>21</v>
      </c>
      <c r="F757" s="75">
        <v>2628</v>
      </c>
      <c r="G757" s="73" t="s">
        <v>98</v>
      </c>
      <c r="H757" s="71" t="s">
        <v>118</v>
      </c>
      <c r="I757" s="73"/>
      <c r="J757" s="75">
        <f>I757*2628</f>
        <v>0</v>
      </c>
      <c r="K757" s="74"/>
      <c r="L757" s="11"/>
    </row>
    <row r="758" spans="2:12" s="9" customFormat="1" ht="13.5" customHeight="1" x14ac:dyDescent="0.2">
      <c r="B758" s="10"/>
      <c r="C758" s="98" t="s">
        <v>891</v>
      </c>
      <c r="D758" s="70" t="s">
        <v>882</v>
      </c>
      <c r="E758" s="103" t="s">
        <v>21</v>
      </c>
      <c r="F758" s="75">
        <v>2680</v>
      </c>
      <c r="G758" s="73" t="s">
        <v>98</v>
      </c>
      <c r="H758" s="71" t="s">
        <v>118</v>
      </c>
      <c r="I758" s="73"/>
      <c r="J758" s="75">
        <f>I758*2680</f>
        <v>0</v>
      </c>
      <c r="K758" s="74"/>
      <c r="L758" s="11"/>
    </row>
    <row r="759" spans="2:12" s="9" customFormat="1" ht="13.5" customHeight="1" x14ac:dyDescent="0.2">
      <c r="B759" s="10"/>
      <c r="C759" s="100" t="s">
        <v>892</v>
      </c>
      <c r="D759" s="82" t="s">
        <v>893</v>
      </c>
      <c r="E759" s="105" t="s">
        <v>164</v>
      </c>
      <c r="F759" s="87">
        <v>1845</v>
      </c>
      <c r="G759" s="85" t="s">
        <v>98</v>
      </c>
      <c r="H759" s="83" t="s">
        <v>118</v>
      </c>
      <c r="I759" s="85"/>
      <c r="J759" s="87">
        <f>I759*1845</f>
        <v>0</v>
      </c>
      <c r="K759" s="86"/>
      <c r="L759" s="11"/>
    </row>
    <row r="760" spans="2:12" s="9" customFormat="1" ht="13.5" customHeight="1" x14ac:dyDescent="0.2">
      <c r="B760" s="10"/>
      <c r="C760" s="100" t="s">
        <v>894</v>
      </c>
      <c r="D760" s="82" t="s">
        <v>893</v>
      </c>
      <c r="E760" s="105" t="s">
        <v>164</v>
      </c>
      <c r="F760" s="87">
        <v>1990</v>
      </c>
      <c r="G760" s="85" t="s">
        <v>98</v>
      </c>
      <c r="H760" s="83" t="s">
        <v>118</v>
      </c>
      <c r="I760" s="85"/>
      <c r="J760" s="87">
        <f>I760*1990</f>
        <v>0</v>
      </c>
      <c r="K760" s="86"/>
      <c r="L760" s="11"/>
    </row>
    <row r="761" spans="2:12" s="9" customFormat="1" ht="13.5" customHeight="1" x14ac:dyDescent="0.2">
      <c r="B761" s="10"/>
      <c r="C761" s="98" t="s">
        <v>895</v>
      </c>
      <c r="D761" s="70" t="s">
        <v>893</v>
      </c>
      <c r="E761" s="103" t="s">
        <v>314</v>
      </c>
      <c r="F761" s="75">
        <v>2430</v>
      </c>
      <c r="G761" s="73" t="s">
        <v>98</v>
      </c>
      <c r="H761" s="71" t="s">
        <v>118</v>
      </c>
      <c r="I761" s="73"/>
      <c r="J761" s="75">
        <f>I761*2430</f>
        <v>0</v>
      </c>
      <c r="K761" s="74"/>
      <c r="L761" s="11"/>
    </row>
    <row r="762" spans="2:12" s="9" customFormat="1" ht="13.5" customHeight="1" x14ac:dyDescent="0.2">
      <c r="B762" s="10"/>
      <c r="C762" s="98" t="s">
        <v>896</v>
      </c>
      <c r="D762" s="70" t="s">
        <v>893</v>
      </c>
      <c r="E762" s="103" t="s">
        <v>158</v>
      </c>
      <c r="F762" s="75">
        <v>2590</v>
      </c>
      <c r="G762" s="73" t="s">
        <v>98</v>
      </c>
      <c r="H762" s="71" t="s">
        <v>118</v>
      </c>
      <c r="I762" s="73"/>
      <c r="J762" s="75">
        <f>I762*2590</f>
        <v>0</v>
      </c>
      <c r="K762" s="74"/>
      <c r="L762" s="11"/>
    </row>
    <row r="763" spans="2:12" s="9" customFormat="1" ht="13.5" customHeight="1" x14ac:dyDescent="0.2">
      <c r="B763" s="10"/>
      <c r="C763" s="100" t="s">
        <v>897</v>
      </c>
      <c r="D763" s="82" t="s">
        <v>898</v>
      </c>
      <c r="E763" s="105" t="s">
        <v>299</v>
      </c>
      <c r="F763" s="87">
        <v>2277</v>
      </c>
      <c r="G763" s="85" t="s">
        <v>98</v>
      </c>
      <c r="H763" s="83" t="s">
        <v>118</v>
      </c>
      <c r="I763" s="85"/>
      <c r="J763" s="87">
        <f>I763*2277</f>
        <v>0</v>
      </c>
      <c r="K763" s="86"/>
      <c r="L763" s="11"/>
    </row>
    <row r="764" spans="2:12" s="9" customFormat="1" ht="13.5" customHeight="1" x14ac:dyDescent="0.2">
      <c r="B764" s="10"/>
      <c r="C764" s="100" t="s">
        <v>899</v>
      </c>
      <c r="D764" s="82" t="s">
        <v>898</v>
      </c>
      <c r="E764" s="105" t="s">
        <v>299</v>
      </c>
      <c r="F764" s="87">
        <v>2292.75</v>
      </c>
      <c r="G764" s="85" t="s">
        <v>98</v>
      </c>
      <c r="H764" s="83" t="s">
        <v>118</v>
      </c>
      <c r="I764" s="85"/>
      <c r="J764" s="87">
        <f>I764*2292.75</f>
        <v>0</v>
      </c>
      <c r="K764" s="86"/>
      <c r="L764" s="11"/>
    </row>
    <row r="765" spans="2:12" s="9" customFormat="1" ht="13.5" customHeight="1" x14ac:dyDescent="0.2">
      <c r="B765" s="10"/>
      <c r="C765" s="100" t="s">
        <v>900</v>
      </c>
      <c r="D765" s="82" t="s">
        <v>898</v>
      </c>
      <c r="E765" s="105" t="s">
        <v>25</v>
      </c>
      <c r="F765" s="87">
        <v>2383</v>
      </c>
      <c r="G765" s="85" t="s">
        <v>98</v>
      </c>
      <c r="H765" s="83" t="s">
        <v>118</v>
      </c>
      <c r="I765" s="85"/>
      <c r="J765" s="87">
        <f>I765*2383</f>
        <v>0</v>
      </c>
      <c r="K765" s="86"/>
      <c r="L765" s="11"/>
    </row>
    <row r="766" spans="2:12" s="9" customFormat="1" ht="13.5" customHeight="1" x14ac:dyDescent="0.2">
      <c r="B766" s="10"/>
      <c r="C766" s="100" t="s">
        <v>901</v>
      </c>
      <c r="D766" s="82" t="s">
        <v>898</v>
      </c>
      <c r="E766" s="105" t="s">
        <v>299</v>
      </c>
      <c r="F766" s="87">
        <v>2400</v>
      </c>
      <c r="G766" s="85" t="s">
        <v>98</v>
      </c>
      <c r="H766" s="83" t="s">
        <v>118</v>
      </c>
      <c r="I766" s="85"/>
      <c r="J766" s="87">
        <f>I766*2400</f>
        <v>0</v>
      </c>
      <c r="K766" s="86"/>
      <c r="L766" s="11"/>
    </row>
    <row r="767" spans="2:12" s="9" customFormat="1" ht="13.5" customHeight="1" x14ac:dyDescent="0.2">
      <c r="B767" s="10"/>
      <c r="C767" s="100" t="s">
        <v>902</v>
      </c>
      <c r="D767" s="82" t="s">
        <v>898</v>
      </c>
      <c r="E767" s="105" t="s">
        <v>164</v>
      </c>
      <c r="F767" s="87">
        <v>2450</v>
      </c>
      <c r="G767" s="85" t="s">
        <v>98</v>
      </c>
      <c r="H767" s="83" t="s">
        <v>118</v>
      </c>
      <c r="I767" s="85"/>
      <c r="J767" s="87">
        <f>I767*2450</f>
        <v>0</v>
      </c>
      <c r="K767" s="86"/>
      <c r="L767" s="11"/>
    </row>
    <row r="768" spans="2:12" s="9" customFormat="1" ht="13.5" customHeight="1" x14ac:dyDescent="0.2">
      <c r="B768" s="10"/>
      <c r="C768" s="100" t="s">
        <v>903</v>
      </c>
      <c r="D768" s="82" t="s">
        <v>898</v>
      </c>
      <c r="E768" s="105" t="s">
        <v>413</v>
      </c>
      <c r="F768" s="87">
        <v>2658</v>
      </c>
      <c r="G768" s="85" t="s">
        <v>98</v>
      </c>
      <c r="H768" s="83" t="s">
        <v>118</v>
      </c>
      <c r="I768" s="85"/>
      <c r="J768" s="87">
        <f>I768*2658</f>
        <v>0</v>
      </c>
      <c r="K768" s="86"/>
      <c r="L768" s="11"/>
    </row>
    <row r="769" spans="2:12" s="9" customFormat="1" ht="13.5" customHeight="1" x14ac:dyDescent="0.2">
      <c r="B769" s="10"/>
      <c r="C769" s="98" t="s">
        <v>904</v>
      </c>
      <c r="D769" s="70" t="s">
        <v>898</v>
      </c>
      <c r="E769" s="103" t="s">
        <v>314</v>
      </c>
      <c r="F769" s="75">
        <v>2755</v>
      </c>
      <c r="G769" s="73" t="s">
        <v>98</v>
      </c>
      <c r="H769" s="71" t="s">
        <v>118</v>
      </c>
      <c r="I769" s="73"/>
      <c r="J769" s="75">
        <f>I769*2755</f>
        <v>0</v>
      </c>
      <c r="K769" s="74"/>
      <c r="L769" s="11"/>
    </row>
    <row r="770" spans="2:12" s="9" customFormat="1" ht="13.5" customHeight="1" x14ac:dyDescent="0.2">
      <c r="B770" s="10"/>
      <c r="C770" s="98" t="s">
        <v>905</v>
      </c>
      <c r="D770" s="70" t="s">
        <v>898</v>
      </c>
      <c r="E770" s="103" t="s">
        <v>164</v>
      </c>
      <c r="F770" s="75">
        <v>2755</v>
      </c>
      <c r="G770" s="73" t="s">
        <v>98</v>
      </c>
      <c r="H770" s="71" t="s">
        <v>118</v>
      </c>
      <c r="I770" s="73"/>
      <c r="J770" s="75">
        <f>I770*2755</f>
        <v>0</v>
      </c>
      <c r="K770" s="74"/>
      <c r="L770" s="11"/>
    </row>
    <row r="771" spans="2:12" s="9" customFormat="1" ht="13.5" customHeight="1" x14ac:dyDescent="0.2">
      <c r="B771" s="10"/>
      <c r="C771" s="98" t="s">
        <v>906</v>
      </c>
      <c r="D771" s="70" t="s">
        <v>898</v>
      </c>
      <c r="E771" s="103" t="s">
        <v>413</v>
      </c>
      <c r="F771" s="75">
        <v>2783</v>
      </c>
      <c r="G771" s="73" t="s">
        <v>98</v>
      </c>
      <c r="H771" s="71" t="s">
        <v>118</v>
      </c>
      <c r="I771" s="73"/>
      <c r="J771" s="75">
        <f>I771*2783</f>
        <v>0</v>
      </c>
      <c r="K771" s="74"/>
      <c r="L771" s="11"/>
    </row>
    <row r="772" spans="2:12" s="9" customFormat="1" ht="13.5" customHeight="1" x14ac:dyDescent="0.2">
      <c r="B772" s="10"/>
      <c r="C772" s="98" t="s">
        <v>907</v>
      </c>
      <c r="D772" s="70" t="s">
        <v>898</v>
      </c>
      <c r="E772" s="103" t="s">
        <v>158</v>
      </c>
      <c r="F772" s="75">
        <v>2850</v>
      </c>
      <c r="G772" s="73" t="s">
        <v>98</v>
      </c>
      <c r="H772" s="71" t="s">
        <v>118</v>
      </c>
      <c r="I772" s="73"/>
      <c r="J772" s="75">
        <f>I772*2850</f>
        <v>0</v>
      </c>
      <c r="K772" s="74"/>
      <c r="L772" s="11"/>
    </row>
    <row r="773" spans="2:12" s="9" customFormat="1" ht="13.5" customHeight="1" x14ac:dyDescent="0.2">
      <c r="B773" s="10"/>
      <c r="C773" s="98" t="s">
        <v>908</v>
      </c>
      <c r="D773" s="70" t="s">
        <v>898</v>
      </c>
      <c r="E773" s="103" t="s">
        <v>158</v>
      </c>
      <c r="F773" s="75">
        <v>2850</v>
      </c>
      <c r="G773" s="73" t="s">
        <v>98</v>
      </c>
      <c r="H773" s="71" t="s">
        <v>118</v>
      </c>
      <c r="I773" s="73"/>
      <c r="J773" s="75">
        <f>I773*2850</f>
        <v>0</v>
      </c>
      <c r="K773" s="74"/>
      <c r="L773" s="11"/>
    </row>
    <row r="774" spans="2:12" s="9" customFormat="1" ht="13.5" customHeight="1" x14ac:dyDescent="0.2">
      <c r="B774" s="10"/>
      <c r="C774" s="98" t="s">
        <v>909</v>
      </c>
      <c r="D774" s="70" t="s">
        <v>898</v>
      </c>
      <c r="E774" s="103" t="s">
        <v>164</v>
      </c>
      <c r="F774" s="75">
        <v>3142</v>
      </c>
      <c r="G774" s="73" t="s">
        <v>98</v>
      </c>
      <c r="H774" s="71" t="s">
        <v>118</v>
      </c>
      <c r="I774" s="73"/>
      <c r="J774" s="75">
        <f>I774*3142</f>
        <v>0</v>
      </c>
      <c r="K774" s="74"/>
      <c r="L774" s="11"/>
    </row>
    <row r="775" spans="2:12" s="9" customFormat="1" ht="13.5" customHeight="1" x14ac:dyDescent="0.2">
      <c r="B775" s="10"/>
      <c r="C775" s="98" t="s">
        <v>910</v>
      </c>
      <c r="D775" s="70" t="s">
        <v>898</v>
      </c>
      <c r="E775" s="103" t="s">
        <v>21</v>
      </c>
      <c r="F775" s="75">
        <v>3292</v>
      </c>
      <c r="G775" s="73" t="s">
        <v>98</v>
      </c>
      <c r="H775" s="71" t="s">
        <v>118</v>
      </c>
      <c r="I775" s="73"/>
      <c r="J775" s="75">
        <f>I775*3292</f>
        <v>0</v>
      </c>
      <c r="K775" s="74"/>
      <c r="L775" s="11"/>
    </row>
    <row r="776" spans="2:12" s="9" customFormat="1" ht="13.5" customHeight="1" x14ac:dyDescent="0.2">
      <c r="B776" s="10"/>
      <c r="C776" s="98" t="s">
        <v>911</v>
      </c>
      <c r="D776" s="70" t="s">
        <v>898</v>
      </c>
      <c r="E776" s="103" t="s">
        <v>21</v>
      </c>
      <c r="F776" s="75">
        <v>3295</v>
      </c>
      <c r="G776" s="73" t="s">
        <v>98</v>
      </c>
      <c r="H776" s="71" t="s">
        <v>118</v>
      </c>
      <c r="I776" s="73"/>
      <c r="J776" s="75">
        <f>I776*3295</f>
        <v>0</v>
      </c>
      <c r="K776" s="74"/>
      <c r="L776" s="11"/>
    </row>
    <row r="777" spans="2:12" s="9" customFormat="1" ht="13.5" customHeight="1" x14ac:dyDescent="0.2">
      <c r="B777" s="10"/>
      <c r="C777" s="98" t="s">
        <v>912</v>
      </c>
      <c r="D777" s="70" t="s">
        <v>898</v>
      </c>
      <c r="E777" s="103" t="s">
        <v>164</v>
      </c>
      <c r="F777" s="75">
        <v>3700</v>
      </c>
      <c r="G777" s="73" t="s">
        <v>98</v>
      </c>
      <c r="H777" s="71" t="s">
        <v>118</v>
      </c>
      <c r="I777" s="73"/>
      <c r="J777" s="75">
        <f>I777*3700</f>
        <v>0</v>
      </c>
      <c r="K777" s="74"/>
      <c r="L777" s="11"/>
    </row>
    <row r="778" spans="2:12" s="9" customFormat="1" ht="13.5" customHeight="1" x14ac:dyDescent="0.2">
      <c r="B778" s="10"/>
      <c r="C778" s="100" t="s">
        <v>913</v>
      </c>
      <c r="D778" s="82" t="s">
        <v>914</v>
      </c>
      <c r="E778" s="105" t="s">
        <v>299</v>
      </c>
      <c r="F778" s="87">
        <v>2764</v>
      </c>
      <c r="G778" s="85" t="s">
        <v>98</v>
      </c>
      <c r="H778" s="83" t="s">
        <v>118</v>
      </c>
      <c r="I778" s="85"/>
      <c r="J778" s="87">
        <f>I778*2764</f>
        <v>0</v>
      </c>
      <c r="K778" s="86"/>
      <c r="L778" s="11"/>
    </row>
    <row r="779" spans="2:12" s="9" customFormat="1" ht="13.5" customHeight="1" x14ac:dyDescent="0.2">
      <c r="B779" s="10"/>
      <c r="C779" s="100" t="s">
        <v>915</v>
      </c>
      <c r="D779" s="82" t="s">
        <v>914</v>
      </c>
      <c r="E779" s="105" t="s">
        <v>299</v>
      </c>
      <c r="F779" s="87">
        <v>2764</v>
      </c>
      <c r="G779" s="85" t="s">
        <v>98</v>
      </c>
      <c r="H779" s="83" t="s">
        <v>118</v>
      </c>
      <c r="I779" s="85"/>
      <c r="J779" s="87">
        <f>I779*2764</f>
        <v>0</v>
      </c>
      <c r="K779" s="86"/>
      <c r="L779" s="11"/>
    </row>
    <row r="780" spans="2:12" s="9" customFormat="1" ht="13.5" customHeight="1" x14ac:dyDescent="0.2">
      <c r="B780" s="10"/>
      <c r="C780" s="98" t="s">
        <v>916</v>
      </c>
      <c r="D780" s="70" t="s">
        <v>914</v>
      </c>
      <c r="E780" s="103" t="s">
        <v>299</v>
      </c>
      <c r="F780" s="75">
        <v>2938</v>
      </c>
      <c r="G780" s="73" t="s">
        <v>98</v>
      </c>
      <c r="H780" s="71" t="s">
        <v>118</v>
      </c>
      <c r="I780" s="73"/>
      <c r="J780" s="75">
        <f>I780*2938</f>
        <v>0</v>
      </c>
      <c r="K780" s="74"/>
      <c r="L780" s="11"/>
    </row>
    <row r="781" spans="2:12" s="9" customFormat="1" ht="13.5" customHeight="1" x14ac:dyDescent="0.2">
      <c r="B781" s="10"/>
      <c r="C781" s="100" t="s">
        <v>917</v>
      </c>
      <c r="D781" s="82" t="s">
        <v>914</v>
      </c>
      <c r="E781" s="105" t="s">
        <v>164</v>
      </c>
      <c r="F781" s="87">
        <v>3155</v>
      </c>
      <c r="G781" s="85" t="s">
        <v>98</v>
      </c>
      <c r="H781" s="83" t="s">
        <v>118</v>
      </c>
      <c r="I781" s="85"/>
      <c r="J781" s="87">
        <f>I781*3155</f>
        <v>0</v>
      </c>
      <c r="K781" s="86"/>
      <c r="L781" s="11"/>
    </row>
    <row r="782" spans="2:12" s="9" customFormat="1" ht="13.5" customHeight="1" x14ac:dyDescent="0.2">
      <c r="B782" s="10"/>
      <c r="C782" s="98" t="s">
        <v>918</v>
      </c>
      <c r="D782" s="70" t="s">
        <v>914</v>
      </c>
      <c r="E782" s="103" t="s">
        <v>299</v>
      </c>
      <c r="F782" s="75">
        <v>3385</v>
      </c>
      <c r="G782" s="73" t="s">
        <v>98</v>
      </c>
      <c r="H782" s="71" t="s">
        <v>118</v>
      </c>
      <c r="I782" s="73"/>
      <c r="J782" s="75">
        <f>I782*3385</f>
        <v>0</v>
      </c>
      <c r="K782" s="74"/>
      <c r="L782" s="11"/>
    </row>
    <row r="783" spans="2:12" s="9" customFormat="1" ht="13.5" customHeight="1" x14ac:dyDescent="0.2">
      <c r="B783" s="10"/>
      <c r="C783" s="100" t="s">
        <v>919</v>
      </c>
      <c r="D783" s="82" t="s">
        <v>914</v>
      </c>
      <c r="E783" s="105" t="s">
        <v>413</v>
      </c>
      <c r="F783" s="87">
        <v>3502</v>
      </c>
      <c r="G783" s="85" t="s">
        <v>98</v>
      </c>
      <c r="H783" s="83" t="s">
        <v>118</v>
      </c>
      <c r="I783" s="85"/>
      <c r="J783" s="87">
        <f>I783*3502</f>
        <v>0</v>
      </c>
      <c r="K783" s="86"/>
      <c r="L783" s="11"/>
    </row>
    <row r="784" spans="2:12" s="9" customFormat="1" ht="13.5" customHeight="1" x14ac:dyDescent="0.2">
      <c r="B784" s="10"/>
      <c r="C784" s="100" t="s">
        <v>920</v>
      </c>
      <c r="D784" s="82" t="s">
        <v>914</v>
      </c>
      <c r="E784" s="105" t="s">
        <v>314</v>
      </c>
      <c r="F784" s="87">
        <v>3610</v>
      </c>
      <c r="G784" s="85" t="s">
        <v>98</v>
      </c>
      <c r="H784" s="83" t="s">
        <v>118</v>
      </c>
      <c r="I784" s="85"/>
      <c r="J784" s="87">
        <f>I784*3610</f>
        <v>0</v>
      </c>
      <c r="K784" s="86"/>
      <c r="L784" s="11"/>
    </row>
    <row r="785" spans="2:12" s="9" customFormat="1" ht="13.5" customHeight="1" x14ac:dyDescent="0.2">
      <c r="B785" s="10"/>
      <c r="C785" s="100" t="s">
        <v>921</v>
      </c>
      <c r="D785" s="82" t="s">
        <v>914</v>
      </c>
      <c r="E785" s="105" t="s">
        <v>413</v>
      </c>
      <c r="F785" s="87">
        <v>3722</v>
      </c>
      <c r="G785" s="85" t="s">
        <v>98</v>
      </c>
      <c r="H785" s="83" t="s">
        <v>118</v>
      </c>
      <c r="I785" s="85"/>
      <c r="J785" s="87">
        <f>I785*3722</f>
        <v>0</v>
      </c>
      <c r="K785" s="86"/>
      <c r="L785" s="11"/>
    </row>
    <row r="786" spans="2:12" s="9" customFormat="1" ht="13.5" customHeight="1" x14ac:dyDescent="0.2">
      <c r="B786" s="10"/>
      <c r="C786" s="98" t="s">
        <v>922</v>
      </c>
      <c r="D786" s="70" t="s">
        <v>914</v>
      </c>
      <c r="E786" s="103" t="s">
        <v>158</v>
      </c>
      <c r="F786" s="75">
        <v>3750</v>
      </c>
      <c r="G786" s="73" t="s">
        <v>98</v>
      </c>
      <c r="H786" s="71" t="s">
        <v>118</v>
      </c>
      <c r="I786" s="73"/>
      <c r="J786" s="75">
        <f>I786*3750</f>
        <v>0</v>
      </c>
      <c r="K786" s="74"/>
      <c r="L786" s="11"/>
    </row>
    <row r="787" spans="2:12" s="9" customFormat="1" ht="13.5" customHeight="1" x14ac:dyDescent="0.2">
      <c r="B787" s="10"/>
      <c r="C787" s="98" t="s">
        <v>923</v>
      </c>
      <c r="D787" s="70" t="s">
        <v>914</v>
      </c>
      <c r="E787" s="103" t="s">
        <v>587</v>
      </c>
      <c r="F787" s="75">
        <v>3950</v>
      </c>
      <c r="G787" s="73" t="s">
        <v>98</v>
      </c>
      <c r="H787" s="71" t="s">
        <v>118</v>
      </c>
      <c r="I787" s="73"/>
      <c r="J787" s="75">
        <f>I787*3950</f>
        <v>0</v>
      </c>
      <c r="K787" s="74"/>
      <c r="L787" s="11"/>
    </row>
    <row r="788" spans="2:12" s="9" customFormat="1" ht="13.5" customHeight="1" x14ac:dyDescent="0.2">
      <c r="B788" s="10"/>
      <c r="C788" s="98" t="s">
        <v>924</v>
      </c>
      <c r="D788" s="70" t="s">
        <v>914</v>
      </c>
      <c r="E788" s="103" t="s">
        <v>164</v>
      </c>
      <c r="F788" s="75">
        <v>4025</v>
      </c>
      <c r="G788" s="73" t="s">
        <v>98</v>
      </c>
      <c r="H788" s="71" t="s">
        <v>118</v>
      </c>
      <c r="I788" s="73"/>
      <c r="J788" s="75">
        <f>I788*4025</f>
        <v>0</v>
      </c>
      <c r="K788" s="74"/>
      <c r="L788" s="11"/>
    </row>
    <row r="789" spans="2:12" s="9" customFormat="1" ht="13.5" customHeight="1" x14ac:dyDescent="0.2">
      <c r="B789" s="10"/>
      <c r="C789" s="98" t="s">
        <v>925</v>
      </c>
      <c r="D789" s="70" t="s">
        <v>914</v>
      </c>
      <c r="E789" s="103" t="s">
        <v>164</v>
      </c>
      <c r="F789" s="75">
        <v>4025</v>
      </c>
      <c r="G789" s="73" t="s">
        <v>98</v>
      </c>
      <c r="H789" s="71" t="s">
        <v>118</v>
      </c>
      <c r="I789" s="73"/>
      <c r="J789" s="75">
        <f>I789*4025</f>
        <v>0</v>
      </c>
      <c r="K789" s="74"/>
      <c r="L789" s="11"/>
    </row>
    <row r="790" spans="2:12" s="9" customFormat="1" ht="13.5" customHeight="1" x14ac:dyDescent="0.2">
      <c r="B790" s="10"/>
      <c r="C790" s="98" t="s">
        <v>926</v>
      </c>
      <c r="D790" s="70" t="s">
        <v>914</v>
      </c>
      <c r="E790" s="103" t="s">
        <v>158</v>
      </c>
      <c r="F790" s="75">
        <v>4100</v>
      </c>
      <c r="G790" s="73" t="s">
        <v>98</v>
      </c>
      <c r="H790" s="71" t="s">
        <v>118</v>
      </c>
      <c r="I790" s="73"/>
      <c r="J790" s="75">
        <f>I790*4100</f>
        <v>0</v>
      </c>
      <c r="K790" s="74"/>
      <c r="L790" s="11"/>
    </row>
    <row r="791" spans="2:12" s="9" customFormat="1" ht="13.5" customHeight="1" x14ac:dyDescent="0.2">
      <c r="B791" s="10"/>
      <c r="C791" s="98" t="s">
        <v>927</v>
      </c>
      <c r="D791" s="70" t="s">
        <v>914</v>
      </c>
      <c r="E791" s="103" t="s">
        <v>21</v>
      </c>
      <c r="F791" s="75">
        <v>5069</v>
      </c>
      <c r="G791" s="73" t="s">
        <v>98</v>
      </c>
      <c r="H791" s="71" t="s">
        <v>118</v>
      </c>
      <c r="I791" s="73"/>
      <c r="J791" s="75">
        <f>I791*5069</f>
        <v>0</v>
      </c>
      <c r="K791" s="74"/>
      <c r="L791" s="11"/>
    </row>
    <row r="792" spans="2:12" s="9" customFormat="1" ht="13.5" customHeight="1" x14ac:dyDescent="0.2">
      <c r="B792" s="10"/>
      <c r="C792" s="98" t="s">
        <v>928</v>
      </c>
      <c r="D792" s="70" t="s">
        <v>914</v>
      </c>
      <c r="E792" s="103" t="s">
        <v>21</v>
      </c>
      <c r="F792" s="75">
        <v>5123</v>
      </c>
      <c r="G792" s="73" t="s">
        <v>98</v>
      </c>
      <c r="H792" s="71" t="s">
        <v>118</v>
      </c>
      <c r="I792" s="73"/>
      <c r="J792" s="75">
        <f>I792*5123</f>
        <v>0</v>
      </c>
      <c r="K792" s="74"/>
      <c r="L792" s="11"/>
    </row>
    <row r="793" spans="2:12" s="9" customFormat="1" ht="13.5" customHeight="1" x14ac:dyDescent="0.2">
      <c r="B793" s="10"/>
      <c r="C793" s="98" t="s">
        <v>929</v>
      </c>
      <c r="D793" s="70" t="s">
        <v>914</v>
      </c>
      <c r="E793" s="103" t="s">
        <v>21</v>
      </c>
      <c r="F793" s="75">
        <v>5145</v>
      </c>
      <c r="G793" s="73" t="s">
        <v>98</v>
      </c>
      <c r="H793" s="71" t="s">
        <v>118</v>
      </c>
      <c r="I793" s="73"/>
      <c r="J793" s="75">
        <f>I793*5145</f>
        <v>0</v>
      </c>
      <c r="K793" s="74"/>
      <c r="L793" s="11"/>
    </row>
    <row r="794" spans="2:12" s="9" customFormat="1" ht="13.5" customHeight="1" x14ac:dyDescent="0.2">
      <c r="B794" s="10"/>
      <c r="C794" s="98" t="s">
        <v>930</v>
      </c>
      <c r="D794" s="70" t="s">
        <v>914</v>
      </c>
      <c r="E794" s="103" t="s">
        <v>21</v>
      </c>
      <c r="F794" s="75">
        <v>5150</v>
      </c>
      <c r="G794" s="73" t="s">
        <v>98</v>
      </c>
      <c r="H794" s="71" t="s">
        <v>118</v>
      </c>
      <c r="I794" s="73"/>
      <c r="J794" s="75">
        <f>I794*5150</f>
        <v>0</v>
      </c>
      <c r="K794" s="74"/>
      <c r="L794" s="11"/>
    </row>
    <row r="795" spans="2:12" s="9" customFormat="1" ht="13.5" customHeight="1" x14ac:dyDescent="0.2">
      <c r="B795" s="10"/>
      <c r="C795" s="98" t="s">
        <v>931</v>
      </c>
      <c r="D795" s="70" t="s">
        <v>914</v>
      </c>
      <c r="E795" s="103" t="s">
        <v>21</v>
      </c>
      <c r="F795" s="75">
        <v>5846</v>
      </c>
      <c r="G795" s="73" t="s">
        <v>98</v>
      </c>
      <c r="H795" s="71" t="s">
        <v>118</v>
      </c>
      <c r="I795" s="73"/>
      <c r="J795" s="75">
        <f>I795*5846</f>
        <v>0</v>
      </c>
      <c r="K795" s="74"/>
      <c r="L795" s="11"/>
    </row>
    <row r="796" spans="2:12" s="9" customFormat="1" ht="13.5" customHeight="1" x14ac:dyDescent="0.2">
      <c r="B796" s="10"/>
      <c r="C796" s="98" t="s">
        <v>932</v>
      </c>
      <c r="D796" s="70" t="s">
        <v>933</v>
      </c>
      <c r="E796" s="103" t="s">
        <v>587</v>
      </c>
      <c r="F796" s="75">
        <v>4590</v>
      </c>
      <c r="G796" s="73" t="s">
        <v>98</v>
      </c>
      <c r="H796" s="71" t="s">
        <v>118</v>
      </c>
      <c r="I796" s="73"/>
      <c r="J796" s="75">
        <f>I796*4590</f>
        <v>0</v>
      </c>
      <c r="K796" s="74"/>
      <c r="L796" s="11"/>
    </row>
    <row r="797" spans="2:12" s="9" customFormat="1" ht="13.5" customHeight="1" x14ac:dyDescent="0.2">
      <c r="B797" s="10"/>
      <c r="C797" s="100" t="s">
        <v>934</v>
      </c>
      <c r="D797" s="82" t="s">
        <v>935</v>
      </c>
      <c r="E797" s="105" t="s">
        <v>164</v>
      </c>
      <c r="F797" s="87">
        <v>4195</v>
      </c>
      <c r="G797" s="85" t="s">
        <v>98</v>
      </c>
      <c r="H797" s="83" t="s">
        <v>118</v>
      </c>
      <c r="I797" s="85"/>
      <c r="J797" s="87">
        <f>I797*4195</f>
        <v>0</v>
      </c>
      <c r="K797" s="86"/>
      <c r="L797" s="11"/>
    </row>
    <row r="798" spans="2:12" s="9" customFormat="1" ht="13.5" customHeight="1" x14ac:dyDescent="0.2">
      <c r="B798" s="10"/>
      <c r="C798" s="99" t="s">
        <v>936</v>
      </c>
      <c r="D798" s="76" t="s">
        <v>935</v>
      </c>
      <c r="E798" s="104" t="s">
        <v>158</v>
      </c>
      <c r="F798" s="81">
        <v>4750</v>
      </c>
      <c r="G798" s="79" t="s">
        <v>98</v>
      </c>
      <c r="H798" s="77" t="s">
        <v>118</v>
      </c>
      <c r="I798" s="79"/>
      <c r="J798" s="81">
        <f>I798*4750</f>
        <v>0</v>
      </c>
      <c r="K798" s="80"/>
      <c r="L798" s="11"/>
    </row>
    <row r="799" spans="2:12" s="9" customFormat="1" ht="13.5" customHeight="1" x14ac:dyDescent="0.2">
      <c r="B799" s="10"/>
      <c r="C799" s="98" t="s">
        <v>937</v>
      </c>
      <c r="D799" s="70" t="s">
        <v>935</v>
      </c>
      <c r="E799" s="103" t="s">
        <v>587</v>
      </c>
      <c r="F799" s="75">
        <v>5460</v>
      </c>
      <c r="G799" s="73" t="s">
        <v>98</v>
      </c>
      <c r="H799" s="71" t="s">
        <v>118</v>
      </c>
      <c r="I799" s="73"/>
      <c r="J799" s="75">
        <f>I799*5460</f>
        <v>0</v>
      </c>
      <c r="K799" s="74"/>
      <c r="L799" s="11"/>
    </row>
    <row r="800" spans="2:12" s="9" customFormat="1" ht="13.5" customHeight="1" x14ac:dyDescent="0.2">
      <c r="B800" s="10"/>
      <c r="C800" s="100" t="s">
        <v>938</v>
      </c>
      <c r="D800" s="82" t="s">
        <v>939</v>
      </c>
      <c r="E800" s="105" t="s">
        <v>299</v>
      </c>
      <c r="F800" s="87">
        <v>4504</v>
      </c>
      <c r="G800" s="85" t="s">
        <v>98</v>
      </c>
      <c r="H800" s="83" t="s">
        <v>118</v>
      </c>
      <c r="I800" s="85"/>
      <c r="J800" s="87">
        <f>I800*4504</f>
        <v>0</v>
      </c>
      <c r="K800" s="86"/>
      <c r="L800" s="11"/>
    </row>
    <row r="801" spans="2:12" s="9" customFormat="1" ht="13.5" customHeight="1" x14ac:dyDescent="0.2">
      <c r="B801" s="10"/>
      <c r="C801" s="100" t="s">
        <v>940</v>
      </c>
      <c r="D801" s="82" t="s">
        <v>939</v>
      </c>
      <c r="E801" s="105" t="s">
        <v>299</v>
      </c>
      <c r="F801" s="87">
        <v>4504</v>
      </c>
      <c r="G801" s="85" t="s">
        <v>98</v>
      </c>
      <c r="H801" s="83" t="s">
        <v>118</v>
      </c>
      <c r="I801" s="85"/>
      <c r="J801" s="87">
        <f>I801*4504</f>
        <v>0</v>
      </c>
      <c r="K801" s="86"/>
      <c r="L801" s="11"/>
    </row>
    <row r="802" spans="2:12" s="9" customFormat="1" ht="13.5" customHeight="1" x14ac:dyDescent="0.2">
      <c r="B802" s="10"/>
      <c r="C802" s="100" t="s">
        <v>941</v>
      </c>
      <c r="D802" s="82" t="s">
        <v>939</v>
      </c>
      <c r="E802" s="105" t="s">
        <v>413</v>
      </c>
      <c r="F802" s="87">
        <v>5223</v>
      </c>
      <c r="G802" s="85" t="s">
        <v>98</v>
      </c>
      <c r="H802" s="83" t="s">
        <v>118</v>
      </c>
      <c r="I802" s="85"/>
      <c r="J802" s="87">
        <f>I802*5223</f>
        <v>0</v>
      </c>
      <c r="K802" s="86"/>
      <c r="L802" s="11"/>
    </row>
    <row r="803" spans="2:12" s="9" customFormat="1" ht="13.5" customHeight="1" x14ac:dyDescent="0.2">
      <c r="B803" s="10"/>
      <c r="C803" s="98" t="s">
        <v>942</v>
      </c>
      <c r="D803" s="70" t="s">
        <v>939</v>
      </c>
      <c r="E803" s="103" t="s">
        <v>158</v>
      </c>
      <c r="F803" s="75">
        <v>5490</v>
      </c>
      <c r="G803" s="73" t="s">
        <v>98</v>
      </c>
      <c r="H803" s="71" t="s">
        <v>118</v>
      </c>
      <c r="I803" s="73"/>
      <c r="J803" s="75">
        <f>I803*5490</f>
        <v>0</v>
      </c>
      <c r="K803" s="74"/>
      <c r="L803" s="11"/>
    </row>
    <row r="804" spans="2:12" s="9" customFormat="1" ht="13.5" customHeight="1" x14ac:dyDescent="0.2">
      <c r="B804" s="10"/>
      <c r="C804" s="98" t="s">
        <v>943</v>
      </c>
      <c r="D804" s="70" t="s">
        <v>939</v>
      </c>
      <c r="E804" s="103" t="s">
        <v>25</v>
      </c>
      <c r="F804" s="75">
        <v>5619</v>
      </c>
      <c r="G804" s="73" t="s">
        <v>98</v>
      </c>
      <c r="H804" s="71" t="s">
        <v>118</v>
      </c>
      <c r="I804" s="73"/>
      <c r="J804" s="75">
        <f>I804*5619</f>
        <v>0</v>
      </c>
      <c r="K804" s="74"/>
      <c r="L804" s="11"/>
    </row>
    <row r="805" spans="2:12" s="9" customFormat="1" ht="13.5" customHeight="1" x14ac:dyDescent="0.2">
      <c r="B805" s="10"/>
      <c r="C805" s="98" t="s">
        <v>944</v>
      </c>
      <c r="D805" s="70" t="s">
        <v>939</v>
      </c>
      <c r="E805" s="103" t="s">
        <v>21</v>
      </c>
      <c r="F805" s="75">
        <v>5847</v>
      </c>
      <c r="G805" s="73" t="s">
        <v>98</v>
      </c>
      <c r="H805" s="71" t="s">
        <v>118</v>
      </c>
      <c r="I805" s="73"/>
      <c r="J805" s="75">
        <f>I805*5847</f>
        <v>0</v>
      </c>
      <c r="K805" s="74"/>
      <c r="L805" s="11"/>
    </row>
    <row r="806" spans="2:12" s="9" customFormat="1" ht="13.5" customHeight="1" x14ac:dyDescent="0.2">
      <c r="B806" s="10"/>
      <c r="C806" s="98" t="s">
        <v>945</v>
      </c>
      <c r="D806" s="70" t="s">
        <v>939</v>
      </c>
      <c r="E806" s="103" t="s">
        <v>164</v>
      </c>
      <c r="F806" s="75">
        <v>5920</v>
      </c>
      <c r="G806" s="73" t="s">
        <v>98</v>
      </c>
      <c r="H806" s="71" t="s">
        <v>118</v>
      </c>
      <c r="I806" s="73"/>
      <c r="J806" s="75">
        <f>I806*5920</f>
        <v>0</v>
      </c>
      <c r="K806" s="74"/>
      <c r="L806" s="11"/>
    </row>
    <row r="807" spans="2:12" s="9" customFormat="1" ht="13.5" customHeight="1" x14ac:dyDescent="0.2">
      <c r="B807" s="10"/>
      <c r="C807" s="98" t="s">
        <v>946</v>
      </c>
      <c r="D807" s="70" t="s">
        <v>939</v>
      </c>
      <c r="E807" s="103" t="s">
        <v>158</v>
      </c>
      <c r="F807" s="75">
        <v>5990</v>
      </c>
      <c r="G807" s="73" t="s">
        <v>98</v>
      </c>
      <c r="H807" s="71" t="s">
        <v>118</v>
      </c>
      <c r="I807" s="73"/>
      <c r="J807" s="75">
        <f>I807*5990</f>
        <v>0</v>
      </c>
      <c r="K807" s="74"/>
      <c r="L807" s="11"/>
    </row>
    <row r="808" spans="2:12" s="9" customFormat="1" ht="13.5" customHeight="1" x14ac:dyDescent="0.2">
      <c r="B808" s="10"/>
      <c r="C808" s="98" t="s">
        <v>947</v>
      </c>
      <c r="D808" s="70" t="s">
        <v>939</v>
      </c>
      <c r="E808" s="103" t="s">
        <v>158</v>
      </c>
      <c r="F808" s="75">
        <v>5990</v>
      </c>
      <c r="G808" s="73" t="s">
        <v>98</v>
      </c>
      <c r="H808" s="71" t="s">
        <v>118</v>
      </c>
      <c r="I808" s="73"/>
      <c r="J808" s="75">
        <f>I808*5990</f>
        <v>0</v>
      </c>
      <c r="K808" s="74"/>
      <c r="L808" s="11"/>
    </row>
    <row r="809" spans="2:12" s="9" customFormat="1" ht="13.5" customHeight="1" x14ac:dyDescent="0.2">
      <c r="B809" s="10"/>
      <c r="C809" s="98" t="s">
        <v>948</v>
      </c>
      <c r="D809" s="70" t="s">
        <v>949</v>
      </c>
      <c r="E809" s="103" t="s">
        <v>109</v>
      </c>
      <c r="F809" s="75">
        <v>10400</v>
      </c>
      <c r="G809" s="73" t="s">
        <v>98</v>
      </c>
      <c r="H809" s="71" t="s">
        <v>118</v>
      </c>
      <c r="I809" s="73"/>
      <c r="J809" s="75">
        <f>I809*10400</f>
        <v>0</v>
      </c>
      <c r="K809" s="74"/>
      <c r="L809" s="11"/>
    </row>
    <row r="810" spans="2:12" s="9" customFormat="1" ht="13.5" customHeight="1" x14ac:dyDescent="0.2">
      <c r="B810" s="10"/>
      <c r="C810" s="98" t="s">
        <v>950</v>
      </c>
      <c r="D810" s="70" t="s">
        <v>949</v>
      </c>
      <c r="E810" s="103" t="s">
        <v>109</v>
      </c>
      <c r="F810" s="75">
        <v>10400</v>
      </c>
      <c r="G810" s="73" t="s">
        <v>98</v>
      </c>
      <c r="H810" s="71" t="s">
        <v>118</v>
      </c>
      <c r="I810" s="73"/>
      <c r="J810" s="75">
        <f>I810*10400</f>
        <v>0</v>
      </c>
      <c r="K810" s="74"/>
      <c r="L810" s="11"/>
    </row>
    <row r="811" spans="2:12" s="9" customFormat="1" ht="13.5" customHeight="1" x14ac:dyDescent="0.2">
      <c r="B811" s="10"/>
      <c r="C811" s="98" t="s">
        <v>951</v>
      </c>
      <c r="D811" s="70" t="s">
        <v>949</v>
      </c>
      <c r="E811" s="103" t="s">
        <v>109</v>
      </c>
      <c r="F811" s="75">
        <v>10400</v>
      </c>
      <c r="G811" s="73" t="s">
        <v>98</v>
      </c>
      <c r="H811" s="71" t="s">
        <v>118</v>
      </c>
      <c r="I811" s="73"/>
      <c r="J811" s="75">
        <f>I811*10400</f>
        <v>0</v>
      </c>
      <c r="K811" s="74"/>
      <c r="L811" s="11"/>
    </row>
    <row r="812" spans="2:12" s="9" customFormat="1" ht="13.5" customHeight="1" x14ac:dyDescent="0.2">
      <c r="B812" s="10"/>
      <c r="C812" s="98" t="s">
        <v>952</v>
      </c>
      <c r="D812" s="70" t="s">
        <v>953</v>
      </c>
      <c r="E812" s="103" t="s">
        <v>314</v>
      </c>
      <c r="F812" s="75">
        <v>8330</v>
      </c>
      <c r="G812" s="73" t="s">
        <v>98</v>
      </c>
      <c r="H812" s="71" t="s">
        <v>118</v>
      </c>
      <c r="I812" s="73"/>
      <c r="J812" s="75">
        <f>I812*8330</f>
        <v>0</v>
      </c>
      <c r="K812" s="74"/>
      <c r="L812" s="11"/>
    </row>
    <row r="813" spans="2:12" s="9" customFormat="1" ht="30" customHeight="1" x14ac:dyDescent="0.3">
      <c r="B813" s="10"/>
      <c r="C813" s="88" t="s">
        <v>954</v>
      </c>
      <c r="D813" s="89"/>
      <c r="E813" s="106"/>
      <c r="F813" s="89"/>
      <c r="G813" s="90"/>
      <c r="H813" s="89"/>
      <c r="I813" s="89"/>
      <c r="J813" s="89"/>
      <c r="K813" s="91"/>
      <c r="L813" s="10"/>
    </row>
    <row r="814" spans="2:12" s="9" customFormat="1" ht="13.5" customHeight="1" x14ac:dyDescent="0.2">
      <c r="B814" s="10"/>
      <c r="C814" s="98" t="s">
        <v>955</v>
      </c>
      <c r="D814" s="70" t="s">
        <v>956</v>
      </c>
      <c r="E814" s="103" t="s">
        <v>109</v>
      </c>
      <c r="F814" s="75">
        <v>2090</v>
      </c>
      <c r="G814" s="73" t="s">
        <v>98</v>
      </c>
      <c r="H814" s="71" t="s">
        <v>118</v>
      </c>
      <c r="I814" s="73"/>
      <c r="J814" s="75">
        <f>I814*2090</f>
        <v>0</v>
      </c>
      <c r="K814" s="74"/>
      <c r="L814" s="11"/>
    </row>
    <row r="815" spans="2:12" s="9" customFormat="1" ht="13.5" customHeight="1" x14ac:dyDescent="0.2">
      <c r="B815" s="10"/>
      <c r="C815" s="98" t="s">
        <v>957</v>
      </c>
      <c r="D815" s="70" t="s">
        <v>956</v>
      </c>
      <c r="E815" s="103" t="s">
        <v>587</v>
      </c>
      <c r="F815" s="75">
        <v>2205</v>
      </c>
      <c r="G815" s="73" t="s">
        <v>98</v>
      </c>
      <c r="H815" s="71" t="s">
        <v>118</v>
      </c>
      <c r="I815" s="73"/>
      <c r="J815" s="75">
        <f>I815*2205</f>
        <v>0</v>
      </c>
      <c r="K815" s="74"/>
      <c r="L815" s="11"/>
    </row>
    <row r="816" spans="2:12" s="9" customFormat="1" ht="13.5" customHeight="1" x14ac:dyDescent="0.2">
      <c r="B816" s="10"/>
      <c r="C816" s="98" t="s">
        <v>958</v>
      </c>
      <c r="D816" s="70" t="s">
        <v>959</v>
      </c>
      <c r="E816" s="103" t="s">
        <v>109</v>
      </c>
      <c r="F816" s="75">
        <v>1775</v>
      </c>
      <c r="G816" s="73" t="s">
        <v>98</v>
      </c>
      <c r="H816" s="71" t="s">
        <v>118</v>
      </c>
      <c r="I816" s="73"/>
      <c r="J816" s="75">
        <f>I816*1775</f>
        <v>0</v>
      </c>
      <c r="K816" s="74"/>
      <c r="L816" s="11"/>
    </row>
    <row r="817" spans="2:12" s="9" customFormat="1" ht="13.5" customHeight="1" x14ac:dyDescent="0.2">
      <c r="B817" s="10"/>
      <c r="C817" s="98" t="s">
        <v>960</v>
      </c>
      <c r="D817" s="70" t="s">
        <v>959</v>
      </c>
      <c r="E817" s="103" t="s">
        <v>21</v>
      </c>
      <c r="F817" s="75">
        <v>2179</v>
      </c>
      <c r="G817" s="73" t="s">
        <v>98</v>
      </c>
      <c r="H817" s="71" t="s">
        <v>118</v>
      </c>
      <c r="I817" s="73"/>
      <c r="J817" s="75">
        <f>I817*2179</f>
        <v>0</v>
      </c>
      <c r="K817" s="74"/>
      <c r="L817" s="11"/>
    </row>
    <row r="818" spans="2:12" s="9" customFormat="1" ht="13.5" customHeight="1" x14ac:dyDescent="0.2">
      <c r="B818" s="10"/>
      <c r="C818" s="98" t="s">
        <v>961</v>
      </c>
      <c r="D818" s="70" t="s">
        <v>959</v>
      </c>
      <c r="E818" s="103" t="s">
        <v>109</v>
      </c>
      <c r="F818" s="75">
        <v>2400</v>
      </c>
      <c r="G818" s="73" t="s">
        <v>98</v>
      </c>
      <c r="H818" s="71" t="s">
        <v>118</v>
      </c>
      <c r="I818" s="73"/>
      <c r="J818" s="75">
        <f>I818*2400</f>
        <v>0</v>
      </c>
      <c r="K818" s="74"/>
      <c r="L818" s="11"/>
    </row>
    <row r="819" spans="2:12" s="9" customFormat="1" ht="13.5" customHeight="1" x14ac:dyDescent="0.2">
      <c r="B819" s="10"/>
      <c r="C819" s="98" t="s">
        <v>962</v>
      </c>
      <c r="D819" s="70" t="s">
        <v>959</v>
      </c>
      <c r="E819" s="103" t="s">
        <v>21</v>
      </c>
      <c r="F819" s="75">
        <v>2769</v>
      </c>
      <c r="G819" s="73" t="s">
        <v>98</v>
      </c>
      <c r="H819" s="71" t="s">
        <v>118</v>
      </c>
      <c r="I819" s="73"/>
      <c r="J819" s="75">
        <f>I819*2769</f>
        <v>0</v>
      </c>
      <c r="K819" s="74"/>
      <c r="L819" s="11"/>
    </row>
    <row r="820" spans="2:12" s="9" customFormat="1" ht="13.5" customHeight="1" x14ac:dyDescent="0.2">
      <c r="B820" s="10"/>
      <c r="C820" s="100" t="s">
        <v>963</v>
      </c>
      <c r="D820" s="82" t="s">
        <v>964</v>
      </c>
      <c r="E820" s="105" t="s">
        <v>299</v>
      </c>
      <c r="F820" s="87">
        <v>1965</v>
      </c>
      <c r="G820" s="85" t="s">
        <v>98</v>
      </c>
      <c r="H820" s="83" t="s">
        <v>118</v>
      </c>
      <c r="I820" s="85"/>
      <c r="J820" s="87">
        <f>I820*1965</f>
        <v>0</v>
      </c>
      <c r="K820" s="86"/>
      <c r="L820" s="11"/>
    </row>
    <row r="821" spans="2:12" s="9" customFormat="1" ht="13.5" customHeight="1" x14ac:dyDescent="0.2">
      <c r="B821" s="10"/>
      <c r="C821" s="100" t="s">
        <v>965</v>
      </c>
      <c r="D821" s="82" t="s">
        <v>964</v>
      </c>
      <c r="E821" s="105" t="s">
        <v>299</v>
      </c>
      <c r="F821" s="87">
        <v>1965</v>
      </c>
      <c r="G821" s="85" t="s">
        <v>98</v>
      </c>
      <c r="H821" s="83" t="s">
        <v>118</v>
      </c>
      <c r="I821" s="85"/>
      <c r="J821" s="87">
        <f>I821*1965</f>
        <v>0</v>
      </c>
      <c r="K821" s="86"/>
      <c r="L821" s="11"/>
    </row>
    <row r="822" spans="2:12" s="9" customFormat="1" ht="13.5" customHeight="1" x14ac:dyDescent="0.2">
      <c r="B822" s="10"/>
      <c r="C822" s="100" t="s">
        <v>966</v>
      </c>
      <c r="D822" s="82" t="s">
        <v>964</v>
      </c>
      <c r="E822" s="105" t="s">
        <v>158</v>
      </c>
      <c r="F822" s="87">
        <v>1999</v>
      </c>
      <c r="G822" s="85" t="s">
        <v>98</v>
      </c>
      <c r="H822" s="83" t="s">
        <v>118</v>
      </c>
      <c r="I822" s="85"/>
      <c r="J822" s="87">
        <f>I822*1999</f>
        <v>0</v>
      </c>
      <c r="K822" s="86"/>
      <c r="L822" s="11"/>
    </row>
    <row r="823" spans="2:12" s="9" customFormat="1" ht="13.5" customHeight="1" x14ac:dyDescent="0.2">
      <c r="B823" s="10"/>
      <c r="C823" s="100" t="s">
        <v>967</v>
      </c>
      <c r="D823" s="82" t="s">
        <v>964</v>
      </c>
      <c r="E823" s="105" t="s">
        <v>587</v>
      </c>
      <c r="F823" s="87">
        <v>2225</v>
      </c>
      <c r="G823" s="85" t="s">
        <v>98</v>
      </c>
      <c r="H823" s="83" t="s">
        <v>118</v>
      </c>
      <c r="I823" s="85"/>
      <c r="J823" s="87">
        <f>I823*2225</f>
        <v>0</v>
      </c>
      <c r="K823" s="86"/>
      <c r="L823" s="11"/>
    </row>
    <row r="824" spans="2:12" s="9" customFormat="1" ht="13.5" customHeight="1" x14ac:dyDescent="0.2">
      <c r="B824" s="10"/>
      <c r="C824" s="98" t="s">
        <v>968</v>
      </c>
      <c r="D824" s="70" t="s">
        <v>964</v>
      </c>
      <c r="E824" s="103" t="s">
        <v>109</v>
      </c>
      <c r="F824" s="75">
        <v>2310</v>
      </c>
      <c r="G824" s="73" t="s">
        <v>98</v>
      </c>
      <c r="H824" s="71" t="s">
        <v>118</v>
      </c>
      <c r="I824" s="73"/>
      <c r="J824" s="75">
        <f>I824*2310</f>
        <v>0</v>
      </c>
      <c r="K824" s="74"/>
      <c r="L824" s="11"/>
    </row>
    <row r="825" spans="2:12" s="9" customFormat="1" ht="13.5" customHeight="1" x14ac:dyDescent="0.2">
      <c r="B825" s="10"/>
      <c r="C825" s="98" t="s">
        <v>969</v>
      </c>
      <c r="D825" s="70" t="s">
        <v>964</v>
      </c>
      <c r="E825" s="103" t="s">
        <v>109</v>
      </c>
      <c r="F825" s="75">
        <v>2310</v>
      </c>
      <c r="G825" s="73" t="s">
        <v>98</v>
      </c>
      <c r="H825" s="71" t="s">
        <v>118</v>
      </c>
      <c r="I825" s="73"/>
      <c r="J825" s="75">
        <f>I825*2310</f>
        <v>0</v>
      </c>
      <c r="K825" s="74"/>
      <c r="L825" s="11"/>
    </row>
    <row r="826" spans="2:12" s="9" customFormat="1" ht="13.5" customHeight="1" x14ac:dyDescent="0.2">
      <c r="B826" s="10"/>
      <c r="C826" s="100" t="s">
        <v>970</v>
      </c>
      <c r="D826" s="82" t="s">
        <v>964</v>
      </c>
      <c r="E826" s="105" t="s">
        <v>587</v>
      </c>
      <c r="F826" s="87">
        <v>2480</v>
      </c>
      <c r="G826" s="85" t="s">
        <v>98</v>
      </c>
      <c r="H826" s="83" t="s">
        <v>118</v>
      </c>
      <c r="I826" s="85"/>
      <c r="J826" s="87">
        <f>I826*2480</f>
        <v>0</v>
      </c>
      <c r="K826" s="86"/>
      <c r="L826" s="11"/>
    </row>
    <row r="827" spans="2:12" s="9" customFormat="1" ht="13.5" customHeight="1" x14ac:dyDescent="0.2">
      <c r="B827" s="10"/>
      <c r="C827" s="100" t="s">
        <v>971</v>
      </c>
      <c r="D827" s="82" t="s">
        <v>964</v>
      </c>
      <c r="E827" s="105" t="s">
        <v>413</v>
      </c>
      <c r="F827" s="87">
        <v>2489</v>
      </c>
      <c r="G827" s="85" t="s">
        <v>98</v>
      </c>
      <c r="H827" s="83" t="s">
        <v>118</v>
      </c>
      <c r="I827" s="85"/>
      <c r="J827" s="87">
        <f>I827*2489</f>
        <v>0</v>
      </c>
      <c r="K827" s="86"/>
      <c r="L827" s="11"/>
    </row>
    <row r="828" spans="2:12" s="9" customFormat="1" ht="13.5" customHeight="1" x14ac:dyDescent="0.2">
      <c r="B828" s="10"/>
      <c r="C828" s="98" t="s">
        <v>972</v>
      </c>
      <c r="D828" s="70" t="s">
        <v>964</v>
      </c>
      <c r="E828" s="103" t="s">
        <v>21</v>
      </c>
      <c r="F828" s="75">
        <v>3353</v>
      </c>
      <c r="G828" s="73" t="s">
        <v>98</v>
      </c>
      <c r="H828" s="71" t="s">
        <v>118</v>
      </c>
      <c r="I828" s="73"/>
      <c r="J828" s="75">
        <f>I828*3353</f>
        <v>0</v>
      </c>
      <c r="K828" s="74"/>
      <c r="L828" s="11"/>
    </row>
    <row r="829" spans="2:12" s="9" customFormat="1" ht="13.5" customHeight="1" x14ac:dyDescent="0.2">
      <c r="B829" s="10"/>
      <c r="C829" s="98" t="s">
        <v>973</v>
      </c>
      <c r="D829" s="70" t="s">
        <v>964</v>
      </c>
      <c r="E829" s="103" t="s">
        <v>21</v>
      </c>
      <c r="F829" s="75">
        <v>3353</v>
      </c>
      <c r="G829" s="73" t="s">
        <v>98</v>
      </c>
      <c r="H829" s="71" t="s">
        <v>118</v>
      </c>
      <c r="I829" s="73"/>
      <c r="J829" s="75">
        <f>I829*3353</f>
        <v>0</v>
      </c>
      <c r="K829" s="74"/>
      <c r="L829" s="11"/>
    </row>
    <row r="830" spans="2:12" s="9" customFormat="1" ht="13.5" customHeight="1" x14ac:dyDescent="0.2">
      <c r="B830" s="10"/>
      <c r="C830" s="98" t="s">
        <v>974</v>
      </c>
      <c r="D830" s="70" t="s">
        <v>964</v>
      </c>
      <c r="E830" s="103" t="s">
        <v>21</v>
      </c>
      <c r="F830" s="75">
        <v>3353</v>
      </c>
      <c r="G830" s="73" t="s">
        <v>98</v>
      </c>
      <c r="H830" s="71" t="s">
        <v>118</v>
      </c>
      <c r="I830" s="73"/>
      <c r="J830" s="75">
        <f>I830*3353</f>
        <v>0</v>
      </c>
      <c r="K830" s="74"/>
      <c r="L830" s="11"/>
    </row>
    <row r="831" spans="2:12" s="9" customFormat="1" ht="13.5" customHeight="1" x14ac:dyDescent="0.2">
      <c r="B831" s="10"/>
      <c r="C831" s="98" t="s">
        <v>975</v>
      </c>
      <c r="D831" s="70" t="s">
        <v>964</v>
      </c>
      <c r="E831" s="103" t="s">
        <v>21</v>
      </c>
      <c r="F831" s="75">
        <v>3365</v>
      </c>
      <c r="G831" s="73" t="s">
        <v>98</v>
      </c>
      <c r="H831" s="71" t="s">
        <v>118</v>
      </c>
      <c r="I831" s="73"/>
      <c r="J831" s="75">
        <f>I831*3365</f>
        <v>0</v>
      </c>
      <c r="K831" s="74"/>
      <c r="L831" s="11"/>
    </row>
    <row r="832" spans="2:12" s="9" customFormat="1" ht="13.5" customHeight="1" x14ac:dyDescent="0.2">
      <c r="B832" s="10"/>
      <c r="C832" s="98" t="s">
        <v>976</v>
      </c>
      <c r="D832" s="70" t="s">
        <v>964</v>
      </c>
      <c r="E832" s="103" t="s">
        <v>21</v>
      </c>
      <c r="F832" s="75">
        <v>3390</v>
      </c>
      <c r="G832" s="73" t="s">
        <v>98</v>
      </c>
      <c r="H832" s="71" t="s">
        <v>118</v>
      </c>
      <c r="I832" s="73"/>
      <c r="J832" s="75">
        <f>I832*3390</f>
        <v>0</v>
      </c>
      <c r="K832" s="74"/>
      <c r="L832" s="11"/>
    </row>
    <row r="833" spans="2:12" s="9" customFormat="1" ht="13.5" customHeight="1" x14ac:dyDescent="0.2">
      <c r="B833" s="10"/>
      <c r="C833" s="98" t="s">
        <v>977</v>
      </c>
      <c r="D833" s="70" t="s">
        <v>964</v>
      </c>
      <c r="E833" s="103" t="s">
        <v>21</v>
      </c>
      <c r="F833" s="75">
        <v>3390</v>
      </c>
      <c r="G833" s="73" t="s">
        <v>98</v>
      </c>
      <c r="H833" s="71" t="s">
        <v>118</v>
      </c>
      <c r="I833" s="73"/>
      <c r="J833" s="75">
        <f>I833*3390</f>
        <v>0</v>
      </c>
      <c r="K833" s="74"/>
      <c r="L833" s="11"/>
    </row>
    <row r="834" spans="2:12" s="9" customFormat="1" ht="13.5" customHeight="1" x14ac:dyDescent="0.2">
      <c r="B834" s="10"/>
      <c r="C834" s="100" t="s">
        <v>978</v>
      </c>
      <c r="D834" s="82" t="s">
        <v>979</v>
      </c>
      <c r="E834" s="105" t="s">
        <v>158</v>
      </c>
      <c r="F834" s="87">
        <v>2190</v>
      </c>
      <c r="G834" s="85" t="s">
        <v>98</v>
      </c>
      <c r="H834" s="83" t="s">
        <v>118</v>
      </c>
      <c r="I834" s="85"/>
      <c r="J834" s="87">
        <f>I834*2190</f>
        <v>0</v>
      </c>
      <c r="K834" s="86"/>
      <c r="L834" s="11"/>
    </row>
    <row r="835" spans="2:12" s="9" customFormat="1" ht="13.5" customHeight="1" x14ac:dyDescent="0.2">
      <c r="B835" s="10"/>
      <c r="C835" s="100" t="s">
        <v>980</v>
      </c>
      <c r="D835" s="82" t="s">
        <v>979</v>
      </c>
      <c r="E835" s="105" t="s">
        <v>587</v>
      </c>
      <c r="F835" s="87">
        <v>2510</v>
      </c>
      <c r="G835" s="85" t="s">
        <v>98</v>
      </c>
      <c r="H835" s="83" t="s">
        <v>118</v>
      </c>
      <c r="I835" s="85"/>
      <c r="J835" s="87">
        <f>I835*2510</f>
        <v>0</v>
      </c>
      <c r="K835" s="86"/>
      <c r="L835" s="11"/>
    </row>
    <row r="836" spans="2:12" s="9" customFormat="1" ht="13.5" customHeight="1" x14ac:dyDescent="0.2">
      <c r="B836" s="10"/>
      <c r="C836" s="98" t="s">
        <v>981</v>
      </c>
      <c r="D836" s="70" t="s">
        <v>979</v>
      </c>
      <c r="E836" s="103" t="s">
        <v>109</v>
      </c>
      <c r="F836" s="75">
        <v>2520</v>
      </c>
      <c r="G836" s="73" t="s">
        <v>98</v>
      </c>
      <c r="H836" s="71" t="s">
        <v>118</v>
      </c>
      <c r="I836" s="73"/>
      <c r="J836" s="75">
        <f>I836*2520</f>
        <v>0</v>
      </c>
      <c r="K836" s="74"/>
      <c r="L836" s="11"/>
    </row>
    <row r="837" spans="2:12" s="9" customFormat="1" ht="13.5" customHeight="1" x14ac:dyDescent="0.2">
      <c r="B837" s="10"/>
      <c r="C837" s="98" t="s">
        <v>982</v>
      </c>
      <c r="D837" s="70" t="s">
        <v>979</v>
      </c>
      <c r="E837" s="103" t="s">
        <v>109</v>
      </c>
      <c r="F837" s="75">
        <v>2575</v>
      </c>
      <c r="G837" s="73" t="s">
        <v>98</v>
      </c>
      <c r="H837" s="71" t="s">
        <v>118</v>
      </c>
      <c r="I837" s="73"/>
      <c r="J837" s="75">
        <f>I837*2575</f>
        <v>0</v>
      </c>
      <c r="K837" s="74"/>
      <c r="L837" s="11"/>
    </row>
    <row r="838" spans="2:12" s="9" customFormat="1" ht="13.5" customHeight="1" x14ac:dyDescent="0.2">
      <c r="B838" s="10"/>
      <c r="C838" s="98" t="s">
        <v>983</v>
      </c>
      <c r="D838" s="70" t="s">
        <v>979</v>
      </c>
      <c r="E838" s="103" t="s">
        <v>109</v>
      </c>
      <c r="F838" s="75">
        <v>3245</v>
      </c>
      <c r="G838" s="73" t="s">
        <v>98</v>
      </c>
      <c r="H838" s="71" t="s">
        <v>118</v>
      </c>
      <c r="I838" s="73"/>
      <c r="J838" s="75">
        <f>I838*3245</f>
        <v>0</v>
      </c>
      <c r="K838" s="74"/>
      <c r="L838" s="11"/>
    </row>
    <row r="839" spans="2:12" s="9" customFormat="1" ht="13.5" customHeight="1" x14ac:dyDescent="0.2">
      <c r="B839" s="10"/>
      <c r="C839" s="98" t="s">
        <v>984</v>
      </c>
      <c r="D839" s="70" t="s">
        <v>985</v>
      </c>
      <c r="E839" s="103" t="s">
        <v>299</v>
      </c>
      <c r="F839" s="75">
        <v>2536</v>
      </c>
      <c r="G839" s="73" t="s">
        <v>98</v>
      </c>
      <c r="H839" s="71" t="s">
        <v>118</v>
      </c>
      <c r="I839" s="73"/>
      <c r="J839" s="75">
        <f>I839*2536</f>
        <v>0</v>
      </c>
      <c r="K839" s="74"/>
      <c r="L839" s="11"/>
    </row>
    <row r="840" spans="2:12" s="9" customFormat="1" ht="13.5" customHeight="1" x14ac:dyDescent="0.2">
      <c r="B840" s="10"/>
      <c r="C840" s="100" t="s">
        <v>986</v>
      </c>
      <c r="D840" s="82" t="s">
        <v>985</v>
      </c>
      <c r="E840" s="105" t="s">
        <v>587</v>
      </c>
      <c r="F840" s="87">
        <v>2825</v>
      </c>
      <c r="G840" s="85" t="s">
        <v>98</v>
      </c>
      <c r="H840" s="83" t="s">
        <v>118</v>
      </c>
      <c r="I840" s="85"/>
      <c r="J840" s="87">
        <f>I840*2825</f>
        <v>0</v>
      </c>
      <c r="K840" s="86"/>
      <c r="L840" s="11"/>
    </row>
    <row r="841" spans="2:12" s="9" customFormat="1" ht="13.5" customHeight="1" x14ac:dyDescent="0.2">
      <c r="B841" s="10"/>
      <c r="C841" s="100" t="s">
        <v>987</v>
      </c>
      <c r="D841" s="82" t="s">
        <v>985</v>
      </c>
      <c r="E841" s="105" t="s">
        <v>587</v>
      </c>
      <c r="F841" s="87">
        <v>2825</v>
      </c>
      <c r="G841" s="85" t="s">
        <v>98</v>
      </c>
      <c r="H841" s="83" t="s">
        <v>118</v>
      </c>
      <c r="I841" s="85"/>
      <c r="J841" s="87">
        <f>I841*2825</f>
        <v>0</v>
      </c>
      <c r="K841" s="86"/>
      <c r="L841" s="11"/>
    </row>
    <row r="842" spans="2:12" s="9" customFormat="1" ht="13.5" customHeight="1" x14ac:dyDescent="0.2">
      <c r="B842" s="10"/>
      <c r="C842" s="100" t="s">
        <v>988</v>
      </c>
      <c r="D842" s="82" t="s">
        <v>985</v>
      </c>
      <c r="E842" s="105" t="s">
        <v>158</v>
      </c>
      <c r="F842" s="87">
        <v>2999</v>
      </c>
      <c r="G842" s="85" t="s">
        <v>98</v>
      </c>
      <c r="H842" s="83" t="s">
        <v>118</v>
      </c>
      <c r="I842" s="85"/>
      <c r="J842" s="87">
        <f>I842*2999</f>
        <v>0</v>
      </c>
      <c r="K842" s="86"/>
      <c r="L842" s="11"/>
    </row>
    <row r="843" spans="2:12" s="9" customFormat="1" ht="13.5" customHeight="1" x14ac:dyDescent="0.2">
      <c r="B843" s="10"/>
      <c r="C843" s="100" t="s">
        <v>989</v>
      </c>
      <c r="D843" s="82" t="s">
        <v>985</v>
      </c>
      <c r="E843" s="105" t="s">
        <v>587</v>
      </c>
      <c r="F843" s="87">
        <v>3010</v>
      </c>
      <c r="G843" s="85" t="s">
        <v>98</v>
      </c>
      <c r="H843" s="83" t="s">
        <v>118</v>
      </c>
      <c r="I843" s="85"/>
      <c r="J843" s="87">
        <f>I843*3010</f>
        <v>0</v>
      </c>
      <c r="K843" s="86"/>
      <c r="L843" s="11"/>
    </row>
    <row r="844" spans="2:12" s="9" customFormat="1" ht="13.5" customHeight="1" x14ac:dyDescent="0.2">
      <c r="B844" s="10"/>
      <c r="C844" s="98" t="s">
        <v>990</v>
      </c>
      <c r="D844" s="70" t="s">
        <v>985</v>
      </c>
      <c r="E844" s="103" t="s">
        <v>587</v>
      </c>
      <c r="F844" s="75">
        <v>3140</v>
      </c>
      <c r="G844" s="73" t="s">
        <v>98</v>
      </c>
      <c r="H844" s="71" t="s">
        <v>118</v>
      </c>
      <c r="I844" s="73"/>
      <c r="J844" s="75">
        <f>I844*3140</f>
        <v>0</v>
      </c>
      <c r="K844" s="74"/>
      <c r="L844" s="11"/>
    </row>
    <row r="845" spans="2:12" s="9" customFormat="1" ht="13.5" customHeight="1" x14ac:dyDescent="0.2">
      <c r="B845" s="10"/>
      <c r="C845" s="98" t="s">
        <v>991</v>
      </c>
      <c r="D845" s="70" t="s">
        <v>985</v>
      </c>
      <c r="E845" s="103" t="s">
        <v>587</v>
      </c>
      <c r="F845" s="75">
        <v>3140</v>
      </c>
      <c r="G845" s="73" t="s">
        <v>98</v>
      </c>
      <c r="H845" s="71" t="s">
        <v>118</v>
      </c>
      <c r="I845" s="73"/>
      <c r="J845" s="75">
        <f>I845*3140</f>
        <v>0</v>
      </c>
      <c r="K845" s="74"/>
      <c r="L845" s="11"/>
    </row>
    <row r="846" spans="2:12" s="9" customFormat="1" ht="13.5" customHeight="1" x14ac:dyDescent="0.2">
      <c r="B846" s="10"/>
      <c r="C846" s="98" t="s">
        <v>992</v>
      </c>
      <c r="D846" s="70" t="s">
        <v>985</v>
      </c>
      <c r="E846" s="103" t="s">
        <v>587</v>
      </c>
      <c r="F846" s="75">
        <v>3140</v>
      </c>
      <c r="G846" s="73" t="s">
        <v>98</v>
      </c>
      <c r="H846" s="71" t="s">
        <v>118</v>
      </c>
      <c r="I846" s="73"/>
      <c r="J846" s="75">
        <f>I846*3140</f>
        <v>0</v>
      </c>
      <c r="K846" s="74"/>
      <c r="L846" s="11"/>
    </row>
    <row r="847" spans="2:12" s="9" customFormat="1" ht="13.5" customHeight="1" x14ac:dyDescent="0.2">
      <c r="B847" s="10"/>
      <c r="C847" s="98" t="s">
        <v>993</v>
      </c>
      <c r="D847" s="70" t="s">
        <v>985</v>
      </c>
      <c r="E847" s="103" t="s">
        <v>109</v>
      </c>
      <c r="F847" s="75">
        <v>3145</v>
      </c>
      <c r="G847" s="73" t="s">
        <v>98</v>
      </c>
      <c r="H847" s="71" t="s">
        <v>118</v>
      </c>
      <c r="I847" s="73"/>
      <c r="J847" s="75">
        <f>I847*3145</f>
        <v>0</v>
      </c>
      <c r="K847" s="74"/>
      <c r="L847" s="11"/>
    </row>
    <row r="848" spans="2:12" s="9" customFormat="1" ht="13.5" customHeight="1" x14ac:dyDescent="0.2">
      <c r="B848" s="10"/>
      <c r="C848" s="98" t="s">
        <v>994</v>
      </c>
      <c r="D848" s="70" t="s">
        <v>985</v>
      </c>
      <c r="E848" s="103" t="s">
        <v>109</v>
      </c>
      <c r="F848" s="75">
        <v>3145</v>
      </c>
      <c r="G848" s="73" t="s">
        <v>98</v>
      </c>
      <c r="H848" s="71" t="s">
        <v>118</v>
      </c>
      <c r="I848" s="73"/>
      <c r="J848" s="75">
        <f>I848*3145</f>
        <v>0</v>
      </c>
      <c r="K848" s="74"/>
      <c r="L848" s="11"/>
    </row>
    <row r="849" spans="2:12" s="9" customFormat="1" ht="13.5" customHeight="1" x14ac:dyDescent="0.2">
      <c r="B849" s="10"/>
      <c r="C849" s="98" t="s">
        <v>995</v>
      </c>
      <c r="D849" s="70" t="s">
        <v>985</v>
      </c>
      <c r="E849" s="103" t="s">
        <v>109</v>
      </c>
      <c r="F849" s="75">
        <v>3145</v>
      </c>
      <c r="G849" s="73" t="s">
        <v>98</v>
      </c>
      <c r="H849" s="71" t="s">
        <v>118</v>
      </c>
      <c r="I849" s="73"/>
      <c r="J849" s="75">
        <f>I849*3145</f>
        <v>0</v>
      </c>
      <c r="K849" s="74"/>
      <c r="L849" s="11"/>
    </row>
    <row r="850" spans="2:12" s="9" customFormat="1" ht="13.5" customHeight="1" x14ac:dyDescent="0.2">
      <c r="B850" s="10"/>
      <c r="C850" s="98" t="s">
        <v>996</v>
      </c>
      <c r="D850" s="70" t="s">
        <v>985</v>
      </c>
      <c r="E850" s="103" t="s">
        <v>109</v>
      </c>
      <c r="F850" s="75">
        <v>3150</v>
      </c>
      <c r="G850" s="73" t="s">
        <v>98</v>
      </c>
      <c r="H850" s="71" t="s">
        <v>118</v>
      </c>
      <c r="I850" s="73"/>
      <c r="J850" s="75">
        <f>I850*3150</f>
        <v>0</v>
      </c>
      <c r="K850" s="74"/>
      <c r="L850" s="11"/>
    </row>
    <row r="851" spans="2:12" s="9" customFormat="1" ht="13.5" customHeight="1" x14ac:dyDescent="0.2">
      <c r="B851" s="10"/>
      <c r="C851" s="98" t="s">
        <v>997</v>
      </c>
      <c r="D851" s="70" t="s">
        <v>985</v>
      </c>
      <c r="E851" s="103" t="s">
        <v>413</v>
      </c>
      <c r="F851" s="75">
        <v>3211</v>
      </c>
      <c r="G851" s="73" t="s">
        <v>98</v>
      </c>
      <c r="H851" s="71" t="s">
        <v>118</v>
      </c>
      <c r="I851" s="73"/>
      <c r="J851" s="75">
        <f>I851*3211</f>
        <v>0</v>
      </c>
      <c r="K851" s="74"/>
      <c r="L851" s="11"/>
    </row>
    <row r="852" spans="2:12" s="9" customFormat="1" ht="13.5" customHeight="1" x14ac:dyDescent="0.2">
      <c r="B852" s="10"/>
      <c r="C852" s="98" t="s">
        <v>998</v>
      </c>
      <c r="D852" s="70" t="s">
        <v>985</v>
      </c>
      <c r="E852" s="103" t="s">
        <v>109</v>
      </c>
      <c r="F852" s="75">
        <v>3245</v>
      </c>
      <c r="G852" s="73" t="s">
        <v>98</v>
      </c>
      <c r="H852" s="71" t="s">
        <v>118</v>
      </c>
      <c r="I852" s="73"/>
      <c r="J852" s="75">
        <f>I852*3245</f>
        <v>0</v>
      </c>
      <c r="K852" s="74"/>
      <c r="L852" s="11"/>
    </row>
    <row r="853" spans="2:12" s="9" customFormat="1" ht="13.5" customHeight="1" x14ac:dyDescent="0.2">
      <c r="B853" s="10"/>
      <c r="C853" s="98" t="s">
        <v>999</v>
      </c>
      <c r="D853" s="70" t="s">
        <v>985</v>
      </c>
      <c r="E853" s="103" t="s">
        <v>109</v>
      </c>
      <c r="F853" s="75">
        <v>3245</v>
      </c>
      <c r="G853" s="73" t="s">
        <v>98</v>
      </c>
      <c r="H853" s="71" t="s">
        <v>118</v>
      </c>
      <c r="I853" s="73"/>
      <c r="J853" s="75">
        <f>I853*3245</f>
        <v>0</v>
      </c>
      <c r="K853" s="74"/>
      <c r="L853" s="11"/>
    </row>
    <row r="854" spans="2:12" s="9" customFormat="1" ht="13.5" customHeight="1" x14ac:dyDescent="0.2">
      <c r="B854" s="10"/>
      <c r="C854" s="98" t="s">
        <v>1000</v>
      </c>
      <c r="D854" s="70" t="s">
        <v>985</v>
      </c>
      <c r="E854" s="103" t="s">
        <v>109</v>
      </c>
      <c r="F854" s="75">
        <v>3245</v>
      </c>
      <c r="G854" s="73" t="s">
        <v>98</v>
      </c>
      <c r="H854" s="71" t="s">
        <v>118</v>
      </c>
      <c r="I854" s="73"/>
      <c r="J854" s="75">
        <f>I854*3245</f>
        <v>0</v>
      </c>
      <c r="K854" s="74"/>
      <c r="L854" s="11"/>
    </row>
    <row r="855" spans="2:12" s="9" customFormat="1" ht="13.5" customHeight="1" x14ac:dyDescent="0.2">
      <c r="B855" s="10"/>
      <c r="C855" s="98" t="s">
        <v>1001</v>
      </c>
      <c r="D855" s="70" t="s">
        <v>985</v>
      </c>
      <c r="E855" s="103" t="s">
        <v>587</v>
      </c>
      <c r="F855" s="75">
        <v>3265</v>
      </c>
      <c r="G855" s="73" t="s">
        <v>98</v>
      </c>
      <c r="H855" s="71" t="s">
        <v>118</v>
      </c>
      <c r="I855" s="73"/>
      <c r="J855" s="75">
        <f>I855*3265</f>
        <v>0</v>
      </c>
      <c r="K855" s="74"/>
      <c r="L855" s="11"/>
    </row>
    <row r="856" spans="2:12" s="9" customFormat="1" ht="13.5" customHeight="1" x14ac:dyDescent="0.2">
      <c r="B856" s="10"/>
      <c r="C856" s="98" t="s">
        <v>1002</v>
      </c>
      <c r="D856" s="70" t="s">
        <v>985</v>
      </c>
      <c r="E856" s="103" t="s">
        <v>21</v>
      </c>
      <c r="F856" s="75">
        <v>4160</v>
      </c>
      <c r="G856" s="73" t="s">
        <v>98</v>
      </c>
      <c r="H856" s="71" t="s">
        <v>118</v>
      </c>
      <c r="I856" s="73"/>
      <c r="J856" s="75">
        <f>I856*4160</f>
        <v>0</v>
      </c>
      <c r="K856" s="74"/>
      <c r="L856" s="11"/>
    </row>
    <row r="857" spans="2:12" s="9" customFormat="1" ht="13.5" customHeight="1" x14ac:dyDescent="0.2">
      <c r="B857" s="10"/>
      <c r="C857" s="98" t="s">
        <v>1003</v>
      </c>
      <c r="D857" s="70" t="s">
        <v>1004</v>
      </c>
      <c r="E857" s="103" t="s">
        <v>21</v>
      </c>
      <c r="F857" s="75">
        <v>6095</v>
      </c>
      <c r="G857" s="73" t="s">
        <v>98</v>
      </c>
      <c r="H857" s="71" t="s">
        <v>118</v>
      </c>
      <c r="I857" s="73"/>
      <c r="J857" s="75">
        <f>I857*6095</f>
        <v>0</v>
      </c>
      <c r="K857" s="74"/>
      <c r="L857" s="11"/>
    </row>
    <row r="858" spans="2:12" s="9" customFormat="1" ht="13.5" customHeight="1" x14ac:dyDescent="0.2">
      <c r="B858" s="10"/>
      <c r="C858" s="99" t="s">
        <v>1005</v>
      </c>
      <c r="D858" s="76" t="s">
        <v>1004</v>
      </c>
      <c r="E858" s="104" t="s">
        <v>21</v>
      </c>
      <c r="F858" s="81">
        <v>6095</v>
      </c>
      <c r="G858" s="79" t="s">
        <v>98</v>
      </c>
      <c r="H858" s="77" t="s">
        <v>118</v>
      </c>
      <c r="I858" s="79"/>
      <c r="J858" s="81">
        <f>I858*6095</f>
        <v>0</v>
      </c>
      <c r="K858" s="80"/>
      <c r="L858" s="11"/>
    </row>
    <row r="859" spans="2:12" s="9" customFormat="1" ht="13.5" customHeight="1" x14ac:dyDescent="0.2">
      <c r="B859" s="10"/>
      <c r="C859" s="100" t="s">
        <v>1006</v>
      </c>
      <c r="D859" s="82" t="s">
        <v>1007</v>
      </c>
      <c r="E859" s="105" t="s">
        <v>299</v>
      </c>
      <c r="F859" s="87">
        <v>3502</v>
      </c>
      <c r="G859" s="85" t="s">
        <v>98</v>
      </c>
      <c r="H859" s="83" t="s">
        <v>118</v>
      </c>
      <c r="I859" s="85"/>
      <c r="J859" s="87">
        <f>I859*3502</f>
        <v>0</v>
      </c>
      <c r="K859" s="86"/>
      <c r="L859" s="11"/>
    </row>
    <row r="860" spans="2:12" s="9" customFormat="1" ht="13.5" customHeight="1" x14ac:dyDescent="0.2">
      <c r="B860" s="10"/>
      <c r="C860" s="100" t="s">
        <v>1008</v>
      </c>
      <c r="D860" s="82" t="s">
        <v>1007</v>
      </c>
      <c r="E860" s="105" t="s">
        <v>413</v>
      </c>
      <c r="F860" s="87">
        <v>4060</v>
      </c>
      <c r="G860" s="85" t="s">
        <v>98</v>
      </c>
      <c r="H860" s="83" t="s">
        <v>118</v>
      </c>
      <c r="I860" s="85"/>
      <c r="J860" s="87">
        <f>I860*4060</f>
        <v>0</v>
      </c>
      <c r="K860" s="86"/>
      <c r="L860" s="11"/>
    </row>
    <row r="861" spans="2:12" s="9" customFormat="1" ht="13.5" customHeight="1" x14ac:dyDescent="0.2">
      <c r="B861" s="10"/>
      <c r="C861" s="98" t="s">
        <v>1009</v>
      </c>
      <c r="D861" s="70" t="s">
        <v>1007</v>
      </c>
      <c r="E861" s="103" t="s">
        <v>587</v>
      </c>
      <c r="F861" s="75">
        <v>4080</v>
      </c>
      <c r="G861" s="73" t="s">
        <v>98</v>
      </c>
      <c r="H861" s="71" t="s">
        <v>118</v>
      </c>
      <c r="I861" s="73"/>
      <c r="J861" s="75">
        <f>I861*4080</f>
        <v>0</v>
      </c>
      <c r="K861" s="74"/>
      <c r="L861" s="11"/>
    </row>
    <row r="862" spans="2:12" s="9" customFormat="1" ht="13.5" customHeight="1" x14ac:dyDescent="0.2">
      <c r="B862" s="10"/>
      <c r="C862" s="98" t="s">
        <v>1010</v>
      </c>
      <c r="D862" s="70" t="s">
        <v>1007</v>
      </c>
      <c r="E862" s="103" t="s">
        <v>587</v>
      </c>
      <c r="F862" s="75">
        <v>4080</v>
      </c>
      <c r="G862" s="73" t="s">
        <v>98</v>
      </c>
      <c r="H862" s="71" t="s">
        <v>118</v>
      </c>
      <c r="I862" s="73"/>
      <c r="J862" s="75">
        <f>I862*4080</f>
        <v>0</v>
      </c>
      <c r="K862" s="74"/>
      <c r="L862" s="11"/>
    </row>
    <row r="863" spans="2:12" s="9" customFormat="1" ht="13.5" customHeight="1" x14ac:dyDescent="0.2">
      <c r="B863" s="10"/>
      <c r="C863" s="98" t="s">
        <v>1011</v>
      </c>
      <c r="D863" s="70" t="s">
        <v>1007</v>
      </c>
      <c r="E863" s="103" t="s">
        <v>587</v>
      </c>
      <c r="F863" s="75">
        <v>4485</v>
      </c>
      <c r="G863" s="73" t="s">
        <v>98</v>
      </c>
      <c r="H863" s="71" t="s">
        <v>118</v>
      </c>
      <c r="I863" s="73"/>
      <c r="J863" s="75">
        <f>I863*4485</f>
        <v>0</v>
      </c>
      <c r="K863" s="74"/>
      <c r="L863" s="11"/>
    </row>
    <row r="864" spans="2:12" s="9" customFormat="1" ht="13.5" customHeight="1" x14ac:dyDescent="0.2">
      <c r="B864" s="10"/>
      <c r="C864" s="98" t="s">
        <v>1012</v>
      </c>
      <c r="D864" s="70" t="s">
        <v>1007</v>
      </c>
      <c r="E864" s="103" t="s">
        <v>109</v>
      </c>
      <c r="F864" s="75">
        <v>4820</v>
      </c>
      <c r="G864" s="73" t="s">
        <v>98</v>
      </c>
      <c r="H864" s="71" t="s">
        <v>118</v>
      </c>
      <c r="I864" s="73"/>
      <c r="J864" s="75">
        <f>I864*4820</f>
        <v>0</v>
      </c>
      <c r="K864" s="74"/>
      <c r="L864" s="11"/>
    </row>
    <row r="865" spans="2:12" s="9" customFormat="1" ht="13.5" customHeight="1" x14ac:dyDescent="0.2">
      <c r="B865" s="10"/>
      <c r="C865" s="98" t="s">
        <v>1013</v>
      </c>
      <c r="D865" s="70" t="s">
        <v>1007</v>
      </c>
      <c r="E865" s="103" t="s">
        <v>21</v>
      </c>
      <c r="F865" s="75">
        <v>5234</v>
      </c>
      <c r="G865" s="73" t="s">
        <v>98</v>
      </c>
      <c r="H865" s="71" t="s">
        <v>118</v>
      </c>
      <c r="I865" s="73"/>
      <c r="J865" s="75">
        <f>I865*5234</f>
        <v>0</v>
      </c>
      <c r="K865" s="74"/>
      <c r="L865" s="11"/>
    </row>
    <row r="866" spans="2:12" s="9" customFormat="1" ht="13.5" customHeight="1" x14ac:dyDescent="0.2">
      <c r="B866" s="10"/>
      <c r="C866" s="100" t="s">
        <v>1014</v>
      </c>
      <c r="D866" s="82" t="s">
        <v>1015</v>
      </c>
      <c r="E866" s="105" t="s">
        <v>299</v>
      </c>
      <c r="F866" s="87">
        <v>4929</v>
      </c>
      <c r="G866" s="85" t="s">
        <v>98</v>
      </c>
      <c r="H866" s="83" t="s">
        <v>118</v>
      </c>
      <c r="I866" s="85"/>
      <c r="J866" s="87">
        <f>I866*4929</f>
        <v>0</v>
      </c>
      <c r="K866" s="86"/>
      <c r="L866" s="11"/>
    </row>
    <row r="867" spans="2:12" s="9" customFormat="1" ht="13.5" customHeight="1" x14ac:dyDescent="0.2">
      <c r="B867" s="10"/>
      <c r="C867" s="98" t="s">
        <v>1016</v>
      </c>
      <c r="D867" s="70" t="s">
        <v>1015</v>
      </c>
      <c r="E867" s="103" t="s">
        <v>587</v>
      </c>
      <c r="F867" s="75">
        <v>6695</v>
      </c>
      <c r="G867" s="73" t="s">
        <v>98</v>
      </c>
      <c r="H867" s="71" t="s">
        <v>118</v>
      </c>
      <c r="I867" s="73"/>
      <c r="J867" s="75">
        <f>I867*6695</f>
        <v>0</v>
      </c>
      <c r="K867" s="74"/>
      <c r="L867" s="11"/>
    </row>
    <row r="868" spans="2:12" s="9" customFormat="1" ht="13.5" customHeight="1" x14ac:dyDescent="0.2">
      <c r="B868" s="10"/>
      <c r="C868" s="98" t="s">
        <v>1017</v>
      </c>
      <c r="D868" s="70" t="s">
        <v>1015</v>
      </c>
      <c r="E868" s="103" t="s">
        <v>109</v>
      </c>
      <c r="F868" s="75">
        <v>6775</v>
      </c>
      <c r="G868" s="73" t="s">
        <v>98</v>
      </c>
      <c r="H868" s="71" t="s">
        <v>118</v>
      </c>
      <c r="I868" s="73"/>
      <c r="J868" s="75">
        <f>I868*6775</f>
        <v>0</v>
      </c>
      <c r="K868" s="74"/>
      <c r="L868" s="11"/>
    </row>
    <row r="869" spans="2:12" s="9" customFormat="1" ht="13.5" customHeight="1" x14ac:dyDescent="0.2">
      <c r="B869" s="10"/>
      <c r="C869" s="98" t="s">
        <v>1018</v>
      </c>
      <c r="D869" s="70" t="s">
        <v>1015</v>
      </c>
      <c r="E869" s="103" t="s">
        <v>21</v>
      </c>
      <c r="F869" s="75">
        <v>7864</v>
      </c>
      <c r="G869" s="73" t="s">
        <v>98</v>
      </c>
      <c r="H869" s="71" t="s">
        <v>118</v>
      </c>
      <c r="I869" s="73"/>
      <c r="J869" s="75">
        <f>I869*7864</f>
        <v>0</v>
      </c>
      <c r="K869" s="74"/>
      <c r="L869" s="11"/>
    </row>
    <row r="870" spans="2:12" s="9" customFormat="1" ht="13.5" customHeight="1" x14ac:dyDescent="0.2">
      <c r="B870" s="10"/>
      <c r="C870" s="98" t="s">
        <v>1019</v>
      </c>
      <c r="D870" s="70" t="s">
        <v>1015</v>
      </c>
      <c r="E870" s="103" t="s">
        <v>21</v>
      </c>
      <c r="F870" s="75">
        <v>7864</v>
      </c>
      <c r="G870" s="73" t="s">
        <v>98</v>
      </c>
      <c r="H870" s="71" t="s">
        <v>118</v>
      </c>
      <c r="I870" s="73"/>
      <c r="J870" s="75">
        <f>I870*7864</f>
        <v>0</v>
      </c>
      <c r="K870" s="74"/>
      <c r="L870" s="11"/>
    </row>
    <row r="871" spans="2:12" s="9" customFormat="1" ht="13.5" customHeight="1" x14ac:dyDescent="0.2">
      <c r="B871" s="10"/>
      <c r="C871" s="98" t="s">
        <v>1020</v>
      </c>
      <c r="D871" s="70" t="s">
        <v>1021</v>
      </c>
      <c r="E871" s="103" t="s">
        <v>587</v>
      </c>
      <c r="F871" s="75">
        <v>11400</v>
      </c>
      <c r="G871" s="73" t="s">
        <v>98</v>
      </c>
      <c r="H871" s="71" t="s">
        <v>118</v>
      </c>
      <c r="I871" s="73"/>
      <c r="J871" s="75">
        <f>I871*11400</f>
        <v>0</v>
      </c>
      <c r="K871" s="74"/>
      <c r="L871" s="11"/>
    </row>
    <row r="872" spans="2:12" s="9" customFormat="1" ht="13.5" customHeight="1" x14ac:dyDescent="0.2">
      <c r="B872" s="10"/>
      <c r="C872" s="98" t="s">
        <v>1022</v>
      </c>
      <c r="D872" s="70" t="s">
        <v>1023</v>
      </c>
      <c r="E872" s="103" t="s">
        <v>587</v>
      </c>
      <c r="F872" s="75">
        <v>9475</v>
      </c>
      <c r="G872" s="73" t="s">
        <v>98</v>
      </c>
      <c r="H872" s="71" t="s">
        <v>118</v>
      </c>
      <c r="I872" s="73"/>
      <c r="J872" s="75">
        <f>I872*9475</f>
        <v>0</v>
      </c>
      <c r="K872" s="74"/>
      <c r="L872" s="11"/>
    </row>
    <row r="873" spans="2:12" s="9" customFormat="1" ht="30" customHeight="1" x14ac:dyDescent="0.3">
      <c r="B873" s="10"/>
      <c r="C873" s="88" t="s">
        <v>521</v>
      </c>
      <c r="D873" s="89"/>
      <c r="E873" s="106"/>
      <c r="F873" s="89"/>
      <c r="G873" s="90"/>
      <c r="H873" s="89"/>
      <c r="I873" s="89"/>
      <c r="J873" s="89"/>
      <c r="K873" s="91"/>
      <c r="L873" s="10"/>
    </row>
    <row r="874" spans="2:12" s="9" customFormat="1" ht="13.5" customHeight="1" x14ac:dyDescent="0.2">
      <c r="B874" s="10"/>
      <c r="C874" s="100" t="s">
        <v>1024</v>
      </c>
      <c r="D874" s="82" t="s">
        <v>1025</v>
      </c>
      <c r="E874" s="105" t="s">
        <v>25</v>
      </c>
      <c r="F874" s="87">
        <v>1824</v>
      </c>
      <c r="G874" s="85" t="s">
        <v>98</v>
      </c>
      <c r="H874" s="83" t="s">
        <v>118</v>
      </c>
      <c r="I874" s="85"/>
      <c r="J874" s="87">
        <f>I874*1824</f>
        <v>0</v>
      </c>
      <c r="K874" s="86"/>
      <c r="L874" s="11"/>
    </row>
    <row r="875" spans="2:12" s="9" customFormat="1" ht="13.5" customHeight="1" x14ac:dyDescent="0.2">
      <c r="B875" s="10"/>
      <c r="C875" s="100" t="s">
        <v>1026</v>
      </c>
      <c r="D875" s="82" t="s">
        <v>1025</v>
      </c>
      <c r="E875" s="105" t="s">
        <v>25</v>
      </c>
      <c r="F875" s="87">
        <v>1830</v>
      </c>
      <c r="G875" s="85" t="s">
        <v>98</v>
      </c>
      <c r="H875" s="83" t="s">
        <v>118</v>
      </c>
      <c r="I875" s="85"/>
      <c r="J875" s="87">
        <f>I875*1830</f>
        <v>0</v>
      </c>
      <c r="K875" s="86"/>
      <c r="L875" s="11"/>
    </row>
    <row r="876" spans="2:12" s="9" customFormat="1" ht="13.5" customHeight="1" x14ac:dyDescent="0.2">
      <c r="B876" s="10"/>
      <c r="C876" s="100" t="s">
        <v>1027</v>
      </c>
      <c r="D876" s="82" t="s">
        <v>1028</v>
      </c>
      <c r="E876" s="105" t="s">
        <v>587</v>
      </c>
      <c r="F876" s="87">
        <v>2495</v>
      </c>
      <c r="G876" s="85" t="s">
        <v>98</v>
      </c>
      <c r="H876" s="83" t="s">
        <v>118</v>
      </c>
      <c r="I876" s="85"/>
      <c r="J876" s="87">
        <f>I876*2495</f>
        <v>0</v>
      </c>
      <c r="K876" s="86"/>
      <c r="L876" s="11"/>
    </row>
    <row r="877" spans="2:12" s="9" customFormat="1" ht="13.5" customHeight="1" x14ac:dyDescent="0.2">
      <c r="B877" s="10"/>
      <c r="C877" s="99" t="s">
        <v>1029</v>
      </c>
      <c r="D877" s="76" t="s">
        <v>1028</v>
      </c>
      <c r="E877" s="104" t="s">
        <v>25</v>
      </c>
      <c r="F877" s="81">
        <v>3235</v>
      </c>
      <c r="G877" s="79" t="s">
        <v>98</v>
      </c>
      <c r="H877" s="77" t="s">
        <v>118</v>
      </c>
      <c r="I877" s="79"/>
      <c r="J877" s="81">
        <f>I877*3235</f>
        <v>0</v>
      </c>
      <c r="K877" s="80"/>
      <c r="L877" s="11"/>
    </row>
    <row r="878" spans="2:12" s="9" customFormat="1" ht="13.5" customHeight="1" x14ac:dyDescent="0.2">
      <c r="B878" s="10"/>
      <c r="C878" s="99" t="s">
        <v>1030</v>
      </c>
      <c r="D878" s="76" t="s">
        <v>1028</v>
      </c>
      <c r="E878" s="104" t="s">
        <v>25</v>
      </c>
      <c r="F878" s="81">
        <v>3235</v>
      </c>
      <c r="G878" s="79" t="s">
        <v>98</v>
      </c>
      <c r="H878" s="77" t="s">
        <v>118</v>
      </c>
      <c r="I878" s="79"/>
      <c r="J878" s="81">
        <f>I878*3235</f>
        <v>0</v>
      </c>
      <c r="K878" s="80"/>
      <c r="L878" s="11"/>
    </row>
    <row r="879" spans="2:12" s="9" customFormat="1" ht="13.5" customHeight="1" x14ac:dyDescent="0.2">
      <c r="B879" s="10"/>
      <c r="C879" s="98" t="s">
        <v>1031</v>
      </c>
      <c r="D879" s="70" t="s">
        <v>1028</v>
      </c>
      <c r="E879" s="103" t="s">
        <v>21</v>
      </c>
      <c r="F879" s="75">
        <v>3423</v>
      </c>
      <c r="G879" s="73" t="s">
        <v>98</v>
      </c>
      <c r="H879" s="71" t="s">
        <v>118</v>
      </c>
      <c r="I879" s="73"/>
      <c r="J879" s="75">
        <f>I879*3423</f>
        <v>0</v>
      </c>
      <c r="K879" s="74"/>
      <c r="L879" s="11"/>
    </row>
    <row r="880" spans="2:12" s="9" customFormat="1" ht="13.5" customHeight="1" x14ac:dyDescent="0.2">
      <c r="B880" s="10"/>
      <c r="C880" s="100" t="s">
        <v>1032</v>
      </c>
      <c r="D880" s="82" t="s">
        <v>1033</v>
      </c>
      <c r="E880" s="105" t="s">
        <v>587</v>
      </c>
      <c r="F880" s="87">
        <v>2265</v>
      </c>
      <c r="G880" s="85" t="s">
        <v>98</v>
      </c>
      <c r="H880" s="83" t="s">
        <v>118</v>
      </c>
      <c r="I880" s="85"/>
      <c r="J880" s="87">
        <f>I880*2265</f>
        <v>0</v>
      </c>
      <c r="K880" s="86"/>
      <c r="L880" s="11"/>
    </row>
    <row r="881" spans="2:12" s="9" customFormat="1" ht="13.5" customHeight="1" x14ac:dyDescent="0.2">
      <c r="B881" s="10"/>
      <c r="C881" s="100" t="s">
        <v>1034</v>
      </c>
      <c r="D881" s="82" t="s">
        <v>1033</v>
      </c>
      <c r="E881" s="105" t="s">
        <v>25</v>
      </c>
      <c r="F881" s="87">
        <v>2395</v>
      </c>
      <c r="G881" s="85" t="s">
        <v>98</v>
      </c>
      <c r="H881" s="83" t="s">
        <v>118</v>
      </c>
      <c r="I881" s="85"/>
      <c r="J881" s="87">
        <f>I881*2395</f>
        <v>0</v>
      </c>
      <c r="K881" s="86"/>
      <c r="L881" s="11"/>
    </row>
    <row r="882" spans="2:12" s="9" customFormat="1" ht="13.5" customHeight="1" x14ac:dyDescent="0.2">
      <c r="B882" s="10"/>
      <c r="C882" s="100" t="s">
        <v>1035</v>
      </c>
      <c r="D882" s="82" t="s">
        <v>1033</v>
      </c>
      <c r="E882" s="105" t="s">
        <v>164</v>
      </c>
      <c r="F882" s="87">
        <v>2425</v>
      </c>
      <c r="G882" s="85" t="s">
        <v>98</v>
      </c>
      <c r="H882" s="83" t="s">
        <v>118</v>
      </c>
      <c r="I882" s="85"/>
      <c r="J882" s="87">
        <f>I882*2425</f>
        <v>0</v>
      </c>
      <c r="K882" s="86"/>
      <c r="L882" s="11"/>
    </row>
    <row r="883" spans="2:12" s="9" customFormat="1" ht="13.5" customHeight="1" x14ac:dyDescent="0.2">
      <c r="B883" s="10"/>
      <c r="C883" s="99" t="s">
        <v>1036</v>
      </c>
      <c r="D883" s="76" t="s">
        <v>1033</v>
      </c>
      <c r="E883" s="104" t="s">
        <v>299</v>
      </c>
      <c r="F883" s="81">
        <v>2474</v>
      </c>
      <c r="G883" s="79" t="s">
        <v>98</v>
      </c>
      <c r="H883" s="77" t="s">
        <v>118</v>
      </c>
      <c r="I883" s="79"/>
      <c r="J883" s="81">
        <f>I883*2474</f>
        <v>0</v>
      </c>
      <c r="K883" s="80"/>
      <c r="L883" s="11"/>
    </row>
    <row r="884" spans="2:12" s="9" customFormat="1" ht="13.5" customHeight="1" x14ac:dyDescent="0.2">
      <c r="B884" s="10"/>
      <c r="C884" s="99" t="s">
        <v>1037</v>
      </c>
      <c r="D884" s="76" t="s">
        <v>1033</v>
      </c>
      <c r="E884" s="104" t="s">
        <v>299</v>
      </c>
      <c r="F884" s="81">
        <v>2474</v>
      </c>
      <c r="G884" s="79" t="s">
        <v>98</v>
      </c>
      <c r="H884" s="77" t="s">
        <v>118</v>
      </c>
      <c r="I884" s="79"/>
      <c r="J884" s="81">
        <f>I884*2474</f>
        <v>0</v>
      </c>
      <c r="K884" s="80"/>
      <c r="L884" s="11"/>
    </row>
    <row r="885" spans="2:12" s="9" customFormat="1" ht="13.5" customHeight="1" x14ac:dyDescent="0.2">
      <c r="B885" s="10"/>
      <c r="C885" s="99" t="s">
        <v>1038</v>
      </c>
      <c r="D885" s="76" t="s">
        <v>1033</v>
      </c>
      <c r="E885" s="104" t="s">
        <v>299</v>
      </c>
      <c r="F885" s="81">
        <v>2474</v>
      </c>
      <c r="G885" s="79" t="s">
        <v>98</v>
      </c>
      <c r="H885" s="77" t="s">
        <v>118</v>
      </c>
      <c r="I885" s="79"/>
      <c r="J885" s="81">
        <f>I885*2474</f>
        <v>0</v>
      </c>
      <c r="K885" s="80"/>
      <c r="L885" s="11"/>
    </row>
    <row r="886" spans="2:12" s="9" customFormat="1" ht="13.5" customHeight="1" x14ac:dyDescent="0.2">
      <c r="B886" s="10"/>
      <c r="C886" s="100" t="s">
        <v>1039</v>
      </c>
      <c r="D886" s="82" t="s">
        <v>1033</v>
      </c>
      <c r="E886" s="105" t="s">
        <v>25</v>
      </c>
      <c r="F886" s="87">
        <v>2500</v>
      </c>
      <c r="G886" s="85" t="s">
        <v>98</v>
      </c>
      <c r="H886" s="83" t="s">
        <v>118</v>
      </c>
      <c r="I886" s="85"/>
      <c r="J886" s="87">
        <f>I886*2500</f>
        <v>0</v>
      </c>
      <c r="K886" s="86"/>
      <c r="L886" s="11"/>
    </row>
    <row r="887" spans="2:12" s="9" customFormat="1" ht="13.5" customHeight="1" x14ac:dyDescent="0.2">
      <c r="B887" s="10"/>
      <c r="C887" s="98" t="s">
        <v>1040</v>
      </c>
      <c r="D887" s="70" t="s">
        <v>1033</v>
      </c>
      <c r="E887" s="103" t="s">
        <v>25</v>
      </c>
      <c r="F887" s="75">
        <v>2820</v>
      </c>
      <c r="G887" s="73" t="s">
        <v>98</v>
      </c>
      <c r="H887" s="71" t="s">
        <v>118</v>
      </c>
      <c r="I887" s="73"/>
      <c r="J887" s="75">
        <f>I887*2820</f>
        <v>0</v>
      </c>
      <c r="K887" s="74"/>
      <c r="L887" s="11"/>
    </row>
    <row r="888" spans="2:12" s="9" customFormat="1" ht="13.5" customHeight="1" x14ac:dyDescent="0.2">
      <c r="B888" s="10"/>
      <c r="C888" s="98" t="s">
        <v>1041</v>
      </c>
      <c r="D888" s="70" t="s">
        <v>1033</v>
      </c>
      <c r="E888" s="103" t="s">
        <v>25</v>
      </c>
      <c r="F888" s="75">
        <v>2820</v>
      </c>
      <c r="G888" s="73" t="s">
        <v>98</v>
      </c>
      <c r="H888" s="71" t="s">
        <v>118</v>
      </c>
      <c r="I888" s="73"/>
      <c r="J888" s="75">
        <f>I888*2820</f>
        <v>0</v>
      </c>
      <c r="K888" s="74"/>
      <c r="L888" s="11"/>
    </row>
    <row r="889" spans="2:12" s="9" customFormat="1" ht="13.5" customHeight="1" x14ac:dyDescent="0.2">
      <c r="B889" s="10"/>
      <c r="C889" s="98" t="s">
        <v>1042</v>
      </c>
      <c r="D889" s="70" t="s">
        <v>1033</v>
      </c>
      <c r="E889" s="103" t="s">
        <v>25</v>
      </c>
      <c r="F889" s="75">
        <v>2820</v>
      </c>
      <c r="G889" s="73" t="s">
        <v>98</v>
      </c>
      <c r="H889" s="71" t="s">
        <v>118</v>
      </c>
      <c r="I889" s="73"/>
      <c r="J889" s="75">
        <f>I889*2820</f>
        <v>0</v>
      </c>
      <c r="K889" s="74"/>
      <c r="L889" s="11"/>
    </row>
    <row r="890" spans="2:12" s="9" customFormat="1" ht="13.5" customHeight="1" x14ac:dyDescent="0.2">
      <c r="B890" s="10"/>
      <c r="C890" s="98" t="s">
        <v>1043</v>
      </c>
      <c r="D890" s="70" t="s">
        <v>1033</v>
      </c>
      <c r="E890" s="103" t="s">
        <v>21</v>
      </c>
      <c r="F890" s="75">
        <v>3127</v>
      </c>
      <c r="G890" s="73" t="s">
        <v>98</v>
      </c>
      <c r="H890" s="71" t="s">
        <v>118</v>
      </c>
      <c r="I890" s="73"/>
      <c r="J890" s="75">
        <f>I890*3127</f>
        <v>0</v>
      </c>
      <c r="K890" s="74"/>
      <c r="L890" s="11"/>
    </row>
    <row r="891" spans="2:12" s="9" customFormat="1" ht="13.5" customHeight="1" x14ac:dyDescent="0.2">
      <c r="B891" s="10"/>
      <c r="C891" s="98" t="s">
        <v>1044</v>
      </c>
      <c r="D891" s="70" t="s">
        <v>1033</v>
      </c>
      <c r="E891" s="103" t="s">
        <v>21</v>
      </c>
      <c r="F891" s="75">
        <v>3127</v>
      </c>
      <c r="G891" s="73" t="s">
        <v>98</v>
      </c>
      <c r="H891" s="71" t="s">
        <v>118</v>
      </c>
      <c r="I891" s="73"/>
      <c r="J891" s="75">
        <f>I891*3127</f>
        <v>0</v>
      </c>
      <c r="K891" s="74"/>
      <c r="L891" s="11"/>
    </row>
    <row r="892" spans="2:12" s="9" customFormat="1" ht="13.5" customHeight="1" x14ac:dyDescent="0.2">
      <c r="B892" s="10"/>
      <c r="C892" s="98" t="s">
        <v>1045</v>
      </c>
      <c r="D892" s="70" t="s">
        <v>1033</v>
      </c>
      <c r="E892" s="103" t="s">
        <v>21</v>
      </c>
      <c r="F892" s="75">
        <v>3127</v>
      </c>
      <c r="G892" s="73" t="s">
        <v>98</v>
      </c>
      <c r="H892" s="71" t="s">
        <v>118</v>
      </c>
      <c r="I892" s="73"/>
      <c r="J892" s="75">
        <f>I892*3127</f>
        <v>0</v>
      </c>
      <c r="K892" s="74"/>
      <c r="L892" s="11"/>
    </row>
    <row r="893" spans="2:12" s="9" customFormat="1" ht="13.5" customHeight="1" x14ac:dyDescent="0.2">
      <c r="B893" s="10"/>
      <c r="C893" s="98" t="s">
        <v>1046</v>
      </c>
      <c r="D893" s="70" t="s">
        <v>1033</v>
      </c>
      <c r="E893" s="103" t="s">
        <v>21</v>
      </c>
      <c r="F893" s="75">
        <v>4249</v>
      </c>
      <c r="G893" s="73" t="s">
        <v>98</v>
      </c>
      <c r="H893" s="71" t="s">
        <v>118</v>
      </c>
      <c r="I893" s="73"/>
      <c r="J893" s="75">
        <f>I893*4249</f>
        <v>0</v>
      </c>
      <c r="K893" s="74"/>
      <c r="L893" s="11"/>
    </row>
    <row r="894" spans="2:12" s="9" customFormat="1" ht="13.5" customHeight="1" x14ac:dyDescent="0.2">
      <c r="B894" s="10"/>
      <c r="C894" s="98" t="s">
        <v>1047</v>
      </c>
      <c r="D894" s="70" t="s">
        <v>1048</v>
      </c>
      <c r="E894" s="103" t="s">
        <v>164</v>
      </c>
      <c r="F894" s="75">
        <v>3280</v>
      </c>
      <c r="G894" s="73" t="s">
        <v>98</v>
      </c>
      <c r="H894" s="71" t="s">
        <v>118</v>
      </c>
      <c r="I894" s="73"/>
      <c r="J894" s="75">
        <f>I894*3280</f>
        <v>0</v>
      </c>
      <c r="K894" s="74"/>
      <c r="L894" s="11"/>
    </row>
    <row r="895" spans="2:12" s="9" customFormat="1" ht="13.5" customHeight="1" x14ac:dyDescent="0.2">
      <c r="B895" s="10"/>
      <c r="C895" s="98" t="s">
        <v>1049</v>
      </c>
      <c r="D895" s="70" t="s">
        <v>1048</v>
      </c>
      <c r="E895" s="103" t="s">
        <v>314</v>
      </c>
      <c r="F895" s="75">
        <v>3365</v>
      </c>
      <c r="G895" s="73" t="s">
        <v>98</v>
      </c>
      <c r="H895" s="71" t="s">
        <v>118</v>
      </c>
      <c r="I895" s="73"/>
      <c r="J895" s="75">
        <f>I895*3365</f>
        <v>0</v>
      </c>
      <c r="K895" s="74"/>
      <c r="L895" s="11"/>
    </row>
    <row r="896" spans="2:12" s="9" customFormat="1" ht="13.5" customHeight="1" x14ac:dyDescent="0.2">
      <c r="B896" s="10"/>
      <c r="C896" s="98" t="s">
        <v>1050</v>
      </c>
      <c r="D896" s="70" t="s">
        <v>1048</v>
      </c>
      <c r="E896" s="103" t="s">
        <v>314</v>
      </c>
      <c r="F896" s="75">
        <v>3545</v>
      </c>
      <c r="G896" s="73" t="s">
        <v>98</v>
      </c>
      <c r="H896" s="71" t="s">
        <v>118</v>
      </c>
      <c r="I896" s="73"/>
      <c r="J896" s="75">
        <f>I896*3545</f>
        <v>0</v>
      </c>
      <c r="K896" s="74"/>
      <c r="L896" s="11"/>
    </row>
    <row r="897" spans="2:12" s="9" customFormat="1" ht="13.5" customHeight="1" x14ac:dyDescent="0.2">
      <c r="B897" s="10"/>
      <c r="C897" s="98" t="s">
        <v>1051</v>
      </c>
      <c r="D897" s="70" t="s">
        <v>1052</v>
      </c>
      <c r="E897" s="103" t="s">
        <v>164</v>
      </c>
      <c r="F897" s="75">
        <v>3820</v>
      </c>
      <c r="G897" s="73" t="s">
        <v>98</v>
      </c>
      <c r="H897" s="71" t="s">
        <v>118</v>
      </c>
      <c r="I897" s="73"/>
      <c r="J897" s="75">
        <f>I897*3820</f>
        <v>0</v>
      </c>
      <c r="K897" s="74"/>
      <c r="L897" s="11"/>
    </row>
    <row r="898" spans="2:12" s="9" customFormat="1" ht="13.5" customHeight="1" x14ac:dyDescent="0.2">
      <c r="B898" s="10"/>
      <c r="C898" s="100" t="s">
        <v>1053</v>
      </c>
      <c r="D898" s="82" t="s">
        <v>1054</v>
      </c>
      <c r="E898" s="105" t="s">
        <v>587</v>
      </c>
      <c r="F898" s="87">
        <v>3140</v>
      </c>
      <c r="G898" s="85" t="s">
        <v>98</v>
      </c>
      <c r="H898" s="83" t="s">
        <v>118</v>
      </c>
      <c r="I898" s="85"/>
      <c r="J898" s="87">
        <f>I898*3140</f>
        <v>0</v>
      </c>
      <c r="K898" s="86"/>
      <c r="L898" s="11"/>
    </row>
    <row r="899" spans="2:12" s="9" customFormat="1" ht="13.5" customHeight="1" x14ac:dyDescent="0.2">
      <c r="B899" s="10"/>
      <c r="C899" s="100" t="s">
        <v>1055</v>
      </c>
      <c r="D899" s="82" t="s">
        <v>1054</v>
      </c>
      <c r="E899" s="105" t="s">
        <v>25</v>
      </c>
      <c r="F899" s="87">
        <v>3300</v>
      </c>
      <c r="G899" s="85" t="s">
        <v>98</v>
      </c>
      <c r="H899" s="83" t="s">
        <v>118</v>
      </c>
      <c r="I899" s="85"/>
      <c r="J899" s="87">
        <f>I899*3300</f>
        <v>0</v>
      </c>
      <c r="K899" s="86"/>
      <c r="L899" s="11"/>
    </row>
    <row r="900" spans="2:12" s="9" customFormat="1" ht="13.5" customHeight="1" x14ac:dyDescent="0.2">
      <c r="B900" s="10"/>
      <c r="C900" s="100" t="s">
        <v>1056</v>
      </c>
      <c r="D900" s="82" t="s">
        <v>1054</v>
      </c>
      <c r="E900" s="105" t="s">
        <v>164</v>
      </c>
      <c r="F900" s="87">
        <v>3365</v>
      </c>
      <c r="G900" s="85" t="s">
        <v>98</v>
      </c>
      <c r="H900" s="83" t="s">
        <v>118</v>
      </c>
      <c r="I900" s="85"/>
      <c r="J900" s="87">
        <f>I900*3365</f>
        <v>0</v>
      </c>
      <c r="K900" s="86"/>
      <c r="L900" s="11"/>
    </row>
    <row r="901" spans="2:12" s="9" customFormat="1" ht="13.5" customHeight="1" x14ac:dyDescent="0.2">
      <c r="B901" s="10"/>
      <c r="C901" s="100" t="s">
        <v>1057</v>
      </c>
      <c r="D901" s="82" t="s">
        <v>1054</v>
      </c>
      <c r="E901" s="105" t="s">
        <v>25</v>
      </c>
      <c r="F901" s="87">
        <v>3598</v>
      </c>
      <c r="G901" s="85" t="s">
        <v>98</v>
      </c>
      <c r="H901" s="83" t="s">
        <v>118</v>
      </c>
      <c r="I901" s="85"/>
      <c r="J901" s="87">
        <f>I901*3598</f>
        <v>0</v>
      </c>
      <c r="K901" s="86"/>
      <c r="L901" s="11"/>
    </row>
    <row r="902" spans="2:12" s="9" customFormat="1" ht="13.5" customHeight="1" x14ac:dyDescent="0.2">
      <c r="B902" s="10"/>
      <c r="C902" s="100" t="s">
        <v>1058</v>
      </c>
      <c r="D902" s="82" t="s">
        <v>1054</v>
      </c>
      <c r="E902" s="105" t="s">
        <v>25</v>
      </c>
      <c r="F902" s="87">
        <v>3598</v>
      </c>
      <c r="G902" s="85" t="s">
        <v>98</v>
      </c>
      <c r="H902" s="83" t="s">
        <v>118</v>
      </c>
      <c r="I902" s="85"/>
      <c r="J902" s="87">
        <f>I902*3598</f>
        <v>0</v>
      </c>
      <c r="K902" s="86"/>
      <c r="L902" s="11"/>
    </row>
    <row r="903" spans="2:12" s="9" customFormat="1" ht="13.5" customHeight="1" x14ac:dyDescent="0.2">
      <c r="B903" s="10"/>
      <c r="C903" s="98" t="s">
        <v>1059</v>
      </c>
      <c r="D903" s="70" t="s">
        <v>1054</v>
      </c>
      <c r="E903" s="103" t="s">
        <v>164</v>
      </c>
      <c r="F903" s="75">
        <v>4390</v>
      </c>
      <c r="G903" s="73" t="s">
        <v>98</v>
      </c>
      <c r="H903" s="71" t="s">
        <v>118</v>
      </c>
      <c r="I903" s="73"/>
      <c r="J903" s="75">
        <f>I903*4390</f>
        <v>0</v>
      </c>
      <c r="K903" s="74"/>
      <c r="L903" s="11"/>
    </row>
    <row r="904" spans="2:12" s="9" customFormat="1" ht="13.5" customHeight="1" x14ac:dyDescent="0.2">
      <c r="B904" s="10"/>
      <c r="C904" s="98" t="s">
        <v>1060</v>
      </c>
      <c r="D904" s="70" t="s">
        <v>1054</v>
      </c>
      <c r="E904" s="103" t="s">
        <v>25</v>
      </c>
      <c r="F904" s="75">
        <v>4795</v>
      </c>
      <c r="G904" s="73" t="s">
        <v>98</v>
      </c>
      <c r="H904" s="71" t="s">
        <v>118</v>
      </c>
      <c r="I904" s="73"/>
      <c r="J904" s="75">
        <f>I904*4795</f>
        <v>0</v>
      </c>
      <c r="K904" s="74"/>
      <c r="L904" s="11"/>
    </row>
    <row r="905" spans="2:12" s="9" customFormat="1" ht="13.5" customHeight="1" x14ac:dyDescent="0.2">
      <c r="B905" s="10"/>
      <c r="C905" s="98" t="s">
        <v>1061</v>
      </c>
      <c r="D905" s="70" t="s">
        <v>1054</v>
      </c>
      <c r="E905" s="103" t="s">
        <v>109</v>
      </c>
      <c r="F905" s="75">
        <v>4990</v>
      </c>
      <c r="G905" s="73" t="s">
        <v>98</v>
      </c>
      <c r="H905" s="71" t="s">
        <v>118</v>
      </c>
      <c r="I905" s="73"/>
      <c r="J905" s="75">
        <f>I905*4990</f>
        <v>0</v>
      </c>
      <c r="K905" s="74"/>
      <c r="L905" s="11"/>
    </row>
    <row r="906" spans="2:12" s="9" customFormat="1" ht="13.5" customHeight="1" x14ac:dyDescent="0.2">
      <c r="B906" s="10"/>
      <c r="C906" s="98" t="s">
        <v>1062</v>
      </c>
      <c r="D906" s="70" t="s">
        <v>1054</v>
      </c>
      <c r="E906" s="103" t="s">
        <v>21</v>
      </c>
      <c r="F906" s="75">
        <v>6181</v>
      </c>
      <c r="G906" s="73" t="s">
        <v>98</v>
      </c>
      <c r="H906" s="71" t="s">
        <v>118</v>
      </c>
      <c r="I906" s="73"/>
      <c r="J906" s="75">
        <f>I906*6181</f>
        <v>0</v>
      </c>
      <c r="K906" s="74"/>
      <c r="L906" s="11"/>
    </row>
    <row r="907" spans="2:12" s="9" customFormat="1" ht="13.5" customHeight="1" x14ac:dyDescent="0.2">
      <c r="B907" s="10"/>
      <c r="C907" s="98" t="s">
        <v>1063</v>
      </c>
      <c r="D907" s="70" t="s">
        <v>1064</v>
      </c>
      <c r="E907" s="103" t="s">
        <v>587</v>
      </c>
      <c r="F907" s="75">
        <v>4985</v>
      </c>
      <c r="G907" s="73" t="s">
        <v>98</v>
      </c>
      <c r="H907" s="71" t="s">
        <v>118</v>
      </c>
      <c r="I907" s="73"/>
      <c r="J907" s="75">
        <f>I907*4985</f>
        <v>0</v>
      </c>
      <c r="K907" s="74"/>
      <c r="L907" s="11"/>
    </row>
    <row r="908" spans="2:12" s="9" customFormat="1" ht="13.5" customHeight="1" x14ac:dyDescent="0.2">
      <c r="B908" s="10"/>
      <c r="C908" s="98" t="s">
        <v>1065</v>
      </c>
      <c r="D908" s="70" t="s">
        <v>1066</v>
      </c>
      <c r="E908" s="103" t="s">
        <v>299</v>
      </c>
      <c r="F908" s="75">
        <v>4558</v>
      </c>
      <c r="G908" s="73" t="s">
        <v>98</v>
      </c>
      <c r="H908" s="71" t="s">
        <v>118</v>
      </c>
      <c r="I908" s="73"/>
      <c r="J908" s="75">
        <f>I908*4558</f>
        <v>0</v>
      </c>
      <c r="K908" s="74"/>
      <c r="L908" s="11"/>
    </row>
    <row r="909" spans="2:12" s="9" customFormat="1" ht="13.5" customHeight="1" x14ac:dyDescent="0.2">
      <c r="B909" s="10"/>
      <c r="C909" s="100" t="s">
        <v>1067</v>
      </c>
      <c r="D909" s="82" t="s">
        <v>1066</v>
      </c>
      <c r="E909" s="105" t="s">
        <v>25</v>
      </c>
      <c r="F909" s="87">
        <v>4738</v>
      </c>
      <c r="G909" s="85" t="s">
        <v>98</v>
      </c>
      <c r="H909" s="83" t="s">
        <v>118</v>
      </c>
      <c r="I909" s="85"/>
      <c r="J909" s="87">
        <f>I909*4738</f>
        <v>0</v>
      </c>
      <c r="K909" s="86"/>
      <c r="L909" s="11"/>
    </row>
    <row r="910" spans="2:12" s="9" customFormat="1" ht="13.5" customHeight="1" x14ac:dyDescent="0.2">
      <c r="B910" s="10"/>
      <c r="C910" s="100" t="s">
        <v>1068</v>
      </c>
      <c r="D910" s="82" t="s">
        <v>1066</v>
      </c>
      <c r="E910" s="105" t="s">
        <v>314</v>
      </c>
      <c r="F910" s="87">
        <v>4810</v>
      </c>
      <c r="G910" s="85" t="s">
        <v>98</v>
      </c>
      <c r="H910" s="83" t="s">
        <v>118</v>
      </c>
      <c r="I910" s="85"/>
      <c r="J910" s="87">
        <f>I910*4810</f>
        <v>0</v>
      </c>
      <c r="K910" s="86"/>
      <c r="L910" s="11"/>
    </row>
    <row r="911" spans="2:12" s="9" customFormat="1" ht="13.5" customHeight="1" x14ac:dyDescent="0.2">
      <c r="B911" s="10"/>
      <c r="C911" s="100" t="s">
        <v>1069</v>
      </c>
      <c r="D911" s="82" t="s">
        <v>1066</v>
      </c>
      <c r="E911" s="105" t="s">
        <v>164</v>
      </c>
      <c r="F911" s="87">
        <v>4810</v>
      </c>
      <c r="G911" s="85" t="s">
        <v>98</v>
      </c>
      <c r="H911" s="83" t="s">
        <v>118</v>
      </c>
      <c r="I911" s="85"/>
      <c r="J911" s="87">
        <f>I911*4810</f>
        <v>0</v>
      </c>
      <c r="K911" s="86"/>
      <c r="L911" s="11"/>
    </row>
    <row r="912" spans="2:12" s="9" customFormat="1" ht="13.5" customHeight="1" x14ac:dyDescent="0.2">
      <c r="B912" s="10"/>
      <c r="C912" s="100" t="s">
        <v>1070</v>
      </c>
      <c r="D912" s="82" t="s">
        <v>1066</v>
      </c>
      <c r="E912" s="105" t="s">
        <v>25</v>
      </c>
      <c r="F912" s="87">
        <v>5138</v>
      </c>
      <c r="G912" s="85" t="s">
        <v>98</v>
      </c>
      <c r="H912" s="83" t="s">
        <v>118</v>
      </c>
      <c r="I912" s="85"/>
      <c r="J912" s="87">
        <f>I912*5138</f>
        <v>0</v>
      </c>
      <c r="K912" s="86"/>
      <c r="L912" s="11"/>
    </row>
    <row r="913" spans="2:12" s="9" customFormat="1" ht="13.5" customHeight="1" x14ac:dyDescent="0.2">
      <c r="B913" s="10"/>
      <c r="C913" s="100" t="s">
        <v>1071</v>
      </c>
      <c r="D913" s="82" t="s">
        <v>1066</v>
      </c>
      <c r="E913" s="105" t="s">
        <v>25</v>
      </c>
      <c r="F913" s="87">
        <v>5138</v>
      </c>
      <c r="G913" s="85" t="s">
        <v>98</v>
      </c>
      <c r="H913" s="83" t="s">
        <v>118</v>
      </c>
      <c r="I913" s="85"/>
      <c r="J913" s="87">
        <f>I913*5138</f>
        <v>0</v>
      </c>
      <c r="K913" s="86"/>
      <c r="L913" s="11"/>
    </row>
    <row r="914" spans="2:12" s="9" customFormat="1" ht="13.5" customHeight="1" x14ac:dyDescent="0.2">
      <c r="B914" s="10"/>
      <c r="C914" s="98" t="s">
        <v>1072</v>
      </c>
      <c r="D914" s="70" t="s">
        <v>1066</v>
      </c>
      <c r="E914" s="103" t="s">
        <v>299</v>
      </c>
      <c r="F914" s="75">
        <v>5152</v>
      </c>
      <c r="G914" s="73" t="s">
        <v>98</v>
      </c>
      <c r="H914" s="71" t="s">
        <v>118</v>
      </c>
      <c r="I914" s="73"/>
      <c r="J914" s="75">
        <f>I914*5152</f>
        <v>0</v>
      </c>
      <c r="K914" s="74"/>
      <c r="L914" s="11"/>
    </row>
    <row r="915" spans="2:12" s="9" customFormat="1" ht="13.5" customHeight="1" x14ac:dyDescent="0.2">
      <c r="B915" s="10"/>
      <c r="C915" s="98" t="s">
        <v>1073</v>
      </c>
      <c r="D915" s="70" t="s">
        <v>1066</v>
      </c>
      <c r="E915" s="103" t="s">
        <v>413</v>
      </c>
      <c r="F915" s="75">
        <v>5505</v>
      </c>
      <c r="G915" s="73" t="s">
        <v>98</v>
      </c>
      <c r="H915" s="71" t="s">
        <v>118</v>
      </c>
      <c r="I915" s="73"/>
      <c r="J915" s="75">
        <f>I915*5505</f>
        <v>0</v>
      </c>
      <c r="K915" s="74"/>
      <c r="L915" s="11"/>
    </row>
    <row r="916" spans="2:12" s="9" customFormat="1" ht="13.5" customHeight="1" x14ac:dyDescent="0.2">
      <c r="B916" s="10"/>
      <c r="C916" s="98" t="s">
        <v>1074</v>
      </c>
      <c r="D916" s="70" t="s">
        <v>1066</v>
      </c>
      <c r="E916" s="103" t="s">
        <v>314</v>
      </c>
      <c r="F916" s="75">
        <v>5720</v>
      </c>
      <c r="G916" s="73" t="s">
        <v>98</v>
      </c>
      <c r="H916" s="71" t="s">
        <v>118</v>
      </c>
      <c r="I916" s="73"/>
      <c r="J916" s="75">
        <f>I916*5720</f>
        <v>0</v>
      </c>
      <c r="K916" s="74"/>
      <c r="L916" s="11"/>
    </row>
    <row r="917" spans="2:12" s="9" customFormat="1" ht="13.5" customHeight="1" x14ac:dyDescent="0.2">
      <c r="B917" s="10"/>
      <c r="C917" s="98" t="s">
        <v>1075</v>
      </c>
      <c r="D917" s="70" t="s">
        <v>1066</v>
      </c>
      <c r="E917" s="103" t="s">
        <v>158</v>
      </c>
      <c r="F917" s="75">
        <v>5930</v>
      </c>
      <c r="G917" s="73" t="s">
        <v>98</v>
      </c>
      <c r="H917" s="71" t="s">
        <v>118</v>
      </c>
      <c r="I917" s="73"/>
      <c r="J917" s="75">
        <f>I917*5930</f>
        <v>0</v>
      </c>
      <c r="K917" s="74"/>
      <c r="L917" s="11"/>
    </row>
    <row r="918" spans="2:12" s="9" customFormat="1" ht="13.5" customHeight="1" x14ac:dyDescent="0.2">
      <c r="B918" s="10"/>
      <c r="C918" s="98" t="s">
        <v>1076</v>
      </c>
      <c r="D918" s="70" t="s">
        <v>1066</v>
      </c>
      <c r="E918" s="103" t="s">
        <v>25</v>
      </c>
      <c r="F918" s="75">
        <v>5958</v>
      </c>
      <c r="G918" s="73" t="s">
        <v>98</v>
      </c>
      <c r="H918" s="71" t="s">
        <v>118</v>
      </c>
      <c r="I918" s="73"/>
      <c r="J918" s="75">
        <f>I918*5958</f>
        <v>0</v>
      </c>
      <c r="K918" s="74"/>
      <c r="L918" s="11"/>
    </row>
    <row r="919" spans="2:12" s="9" customFormat="1" ht="13.5" customHeight="1" x14ac:dyDescent="0.2">
      <c r="B919" s="10"/>
      <c r="C919" s="98" t="s">
        <v>1077</v>
      </c>
      <c r="D919" s="70" t="s">
        <v>1066</v>
      </c>
      <c r="E919" s="103" t="s">
        <v>25</v>
      </c>
      <c r="F919" s="75">
        <v>5958</v>
      </c>
      <c r="G919" s="73" t="s">
        <v>98</v>
      </c>
      <c r="H919" s="71" t="s">
        <v>118</v>
      </c>
      <c r="I919" s="73"/>
      <c r="J919" s="75">
        <f>I919*5958</f>
        <v>0</v>
      </c>
      <c r="K919" s="74"/>
      <c r="L919" s="11"/>
    </row>
    <row r="920" spans="2:12" s="9" customFormat="1" ht="13.5" customHeight="1" x14ac:dyDescent="0.2">
      <c r="B920" s="10"/>
      <c r="C920" s="99" t="s">
        <v>1078</v>
      </c>
      <c r="D920" s="76" t="s">
        <v>1066</v>
      </c>
      <c r="E920" s="104" t="s">
        <v>158</v>
      </c>
      <c r="F920" s="81">
        <v>6490</v>
      </c>
      <c r="G920" s="79" t="s">
        <v>98</v>
      </c>
      <c r="H920" s="77" t="s">
        <v>118</v>
      </c>
      <c r="I920" s="79"/>
      <c r="J920" s="81">
        <f>I920*6490</f>
        <v>0</v>
      </c>
      <c r="K920" s="80"/>
      <c r="L920" s="11"/>
    </row>
    <row r="921" spans="2:12" s="9" customFormat="1" ht="13.5" customHeight="1" x14ac:dyDescent="0.2">
      <c r="B921" s="10"/>
      <c r="C921" s="98" t="s">
        <v>1079</v>
      </c>
      <c r="D921" s="70" t="s">
        <v>1066</v>
      </c>
      <c r="E921" s="103" t="s">
        <v>21</v>
      </c>
      <c r="F921" s="75">
        <v>7078</v>
      </c>
      <c r="G921" s="73" t="s">
        <v>98</v>
      </c>
      <c r="H921" s="71" t="s">
        <v>118</v>
      </c>
      <c r="I921" s="73"/>
      <c r="J921" s="75">
        <f>I921*7078</f>
        <v>0</v>
      </c>
      <c r="K921" s="74"/>
      <c r="L921" s="11"/>
    </row>
    <row r="922" spans="2:12" s="9" customFormat="1" ht="13.5" customHeight="1" x14ac:dyDescent="0.2">
      <c r="B922" s="10"/>
      <c r="C922" s="98" t="s">
        <v>1080</v>
      </c>
      <c r="D922" s="70" t="s">
        <v>1066</v>
      </c>
      <c r="E922" s="103" t="s">
        <v>109</v>
      </c>
      <c r="F922" s="75">
        <v>7300</v>
      </c>
      <c r="G922" s="73" t="s">
        <v>98</v>
      </c>
      <c r="H922" s="71" t="s">
        <v>118</v>
      </c>
      <c r="I922" s="73"/>
      <c r="J922" s="75">
        <f>I922*7300</f>
        <v>0</v>
      </c>
      <c r="K922" s="74"/>
      <c r="L922" s="11"/>
    </row>
    <row r="923" spans="2:12" s="9" customFormat="1" ht="13.5" customHeight="1" x14ac:dyDescent="0.2">
      <c r="B923" s="10"/>
      <c r="C923" s="98" t="s">
        <v>1081</v>
      </c>
      <c r="D923" s="70" t="s">
        <v>1066</v>
      </c>
      <c r="E923" s="103" t="s">
        <v>164</v>
      </c>
      <c r="F923" s="75">
        <v>7370</v>
      </c>
      <c r="G923" s="73" t="s">
        <v>98</v>
      </c>
      <c r="H923" s="71" t="s">
        <v>118</v>
      </c>
      <c r="I923" s="73"/>
      <c r="J923" s="75">
        <f>I923*7370</f>
        <v>0</v>
      </c>
      <c r="K923" s="74"/>
      <c r="L923" s="11"/>
    </row>
    <row r="924" spans="2:12" s="9" customFormat="1" ht="13.5" customHeight="1" x14ac:dyDescent="0.2">
      <c r="B924" s="10"/>
      <c r="C924" s="98" t="s">
        <v>1082</v>
      </c>
      <c r="D924" s="70" t="s">
        <v>1083</v>
      </c>
      <c r="E924" s="103" t="s">
        <v>25</v>
      </c>
      <c r="F924" s="75">
        <v>7553</v>
      </c>
      <c r="G924" s="73" t="s">
        <v>98</v>
      </c>
      <c r="H924" s="71" t="s">
        <v>118</v>
      </c>
      <c r="I924" s="73"/>
      <c r="J924" s="75">
        <f>I924*7553</f>
        <v>0</v>
      </c>
      <c r="K924" s="74"/>
      <c r="L924" s="11"/>
    </row>
    <row r="925" spans="2:12" s="9" customFormat="1" ht="13.5" customHeight="1" x14ac:dyDescent="0.2">
      <c r="B925" s="10"/>
      <c r="C925" s="98" t="s">
        <v>1084</v>
      </c>
      <c r="D925" s="70" t="s">
        <v>1085</v>
      </c>
      <c r="E925" s="103" t="s">
        <v>164</v>
      </c>
      <c r="F925" s="75">
        <v>8990</v>
      </c>
      <c r="G925" s="73" t="s">
        <v>98</v>
      </c>
      <c r="H925" s="71" t="s">
        <v>118</v>
      </c>
      <c r="I925" s="73"/>
      <c r="J925" s="75">
        <f>I925*8990</f>
        <v>0</v>
      </c>
      <c r="K925" s="74"/>
      <c r="L925" s="11"/>
    </row>
    <row r="926" spans="2:12" s="9" customFormat="1" ht="13.5" customHeight="1" x14ac:dyDescent="0.2">
      <c r="B926" s="10"/>
      <c r="C926" s="100" t="s">
        <v>1086</v>
      </c>
      <c r="D926" s="82" t="s">
        <v>1087</v>
      </c>
      <c r="E926" s="105" t="s">
        <v>164</v>
      </c>
      <c r="F926" s="87">
        <v>6365</v>
      </c>
      <c r="G926" s="85" t="s">
        <v>98</v>
      </c>
      <c r="H926" s="83" t="s">
        <v>118</v>
      </c>
      <c r="I926" s="85"/>
      <c r="J926" s="87">
        <f>I926*6365</f>
        <v>0</v>
      </c>
      <c r="K926" s="86"/>
      <c r="L926" s="11"/>
    </row>
    <row r="927" spans="2:12" s="9" customFormat="1" ht="13.5" customHeight="1" x14ac:dyDescent="0.2">
      <c r="B927" s="10"/>
      <c r="C927" s="100" t="s">
        <v>1088</v>
      </c>
      <c r="D927" s="82" t="s">
        <v>1087</v>
      </c>
      <c r="E927" s="105" t="s">
        <v>164</v>
      </c>
      <c r="F927" s="87">
        <v>7220</v>
      </c>
      <c r="G927" s="85" t="s">
        <v>98</v>
      </c>
      <c r="H927" s="83" t="s">
        <v>118</v>
      </c>
      <c r="I927" s="85"/>
      <c r="J927" s="87">
        <f>I927*7220</f>
        <v>0</v>
      </c>
      <c r="K927" s="86"/>
      <c r="L927" s="11"/>
    </row>
    <row r="928" spans="2:12" s="9" customFormat="1" ht="13.5" customHeight="1" x14ac:dyDescent="0.2">
      <c r="B928" s="10"/>
      <c r="C928" s="98" t="s">
        <v>1089</v>
      </c>
      <c r="D928" s="70" t="s">
        <v>1087</v>
      </c>
      <c r="E928" s="103" t="s">
        <v>164</v>
      </c>
      <c r="F928" s="75">
        <v>7940</v>
      </c>
      <c r="G928" s="73" t="s">
        <v>98</v>
      </c>
      <c r="H928" s="71" t="s">
        <v>118</v>
      </c>
      <c r="I928" s="73"/>
      <c r="J928" s="75">
        <f>I928*7940</f>
        <v>0</v>
      </c>
      <c r="K928" s="74"/>
      <c r="L928" s="11"/>
    </row>
    <row r="929" spans="2:12" s="9" customFormat="1" ht="13.5" customHeight="1" x14ac:dyDescent="0.2">
      <c r="B929" s="10"/>
      <c r="C929" s="98" t="s">
        <v>1090</v>
      </c>
      <c r="D929" s="70" t="s">
        <v>1087</v>
      </c>
      <c r="E929" s="103" t="s">
        <v>109</v>
      </c>
      <c r="F929" s="75">
        <v>9450</v>
      </c>
      <c r="G929" s="73" t="s">
        <v>98</v>
      </c>
      <c r="H929" s="71" t="s">
        <v>118</v>
      </c>
      <c r="I929" s="73"/>
      <c r="J929" s="75">
        <f>I929*9450</f>
        <v>0</v>
      </c>
      <c r="K929" s="74"/>
      <c r="L929" s="11"/>
    </row>
    <row r="930" spans="2:12" s="9" customFormat="1" ht="13.5" customHeight="1" x14ac:dyDescent="0.2">
      <c r="B930" s="10"/>
      <c r="C930" s="98" t="s">
        <v>1091</v>
      </c>
      <c r="D930" s="70" t="s">
        <v>1087</v>
      </c>
      <c r="E930" s="103" t="s">
        <v>109</v>
      </c>
      <c r="F930" s="75">
        <v>9495</v>
      </c>
      <c r="G930" s="73" t="s">
        <v>98</v>
      </c>
      <c r="H930" s="71" t="s">
        <v>118</v>
      </c>
      <c r="I930" s="73"/>
      <c r="J930" s="75">
        <f>I930*9495</f>
        <v>0</v>
      </c>
      <c r="K930" s="74"/>
      <c r="L930" s="11"/>
    </row>
    <row r="931" spans="2:12" s="9" customFormat="1" ht="13.5" customHeight="1" x14ac:dyDescent="0.2">
      <c r="B931" s="10"/>
      <c r="C931" s="98" t="s">
        <v>1092</v>
      </c>
      <c r="D931" s="70" t="s">
        <v>1087</v>
      </c>
      <c r="E931" s="103" t="s">
        <v>109</v>
      </c>
      <c r="F931" s="75">
        <v>9710</v>
      </c>
      <c r="G931" s="73" t="s">
        <v>98</v>
      </c>
      <c r="H931" s="71" t="s">
        <v>118</v>
      </c>
      <c r="I931" s="73"/>
      <c r="J931" s="75">
        <f>I931*9710</f>
        <v>0</v>
      </c>
      <c r="K931" s="74"/>
      <c r="L931" s="11"/>
    </row>
    <row r="932" spans="2:12" s="9" customFormat="1" ht="13.5" customHeight="1" x14ac:dyDescent="0.2">
      <c r="B932" s="10"/>
      <c r="C932" s="99" t="s">
        <v>1093</v>
      </c>
      <c r="D932" s="76" t="s">
        <v>1094</v>
      </c>
      <c r="E932" s="104" t="s">
        <v>25</v>
      </c>
      <c r="F932" s="81">
        <v>8648</v>
      </c>
      <c r="G932" s="79" t="s">
        <v>98</v>
      </c>
      <c r="H932" s="77" t="s">
        <v>118</v>
      </c>
      <c r="I932" s="79"/>
      <c r="J932" s="81">
        <f>I932*8648</f>
        <v>0</v>
      </c>
      <c r="K932" s="80"/>
      <c r="L932" s="11"/>
    </row>
    <row r="933" spans="2:12" s="9" customFormat="1" ht="13.5" customHeight="1" x14ac:dyDescent="0.2">
      <c r="B933" s="10"/>
      <c r="C933" s="99" t="s">
        <v>1095</v>
      </c>
      <c r="D933" s="76" t="s">
        <v>1096</v>
      </c>
      <c r="E933" s="104" t="s">
        <v>164</v>
      </c>
      <c r="F933" s="81">
        <v>8910</v>
      </c>
      <c r="G933" s="79" t="s">
        <v>98</v>
      </c>
      <c r="H933" s="77" t="s">
        <v>118</v>
      </c>
      <c r="I933" s="79"/>
      <c r="J933" s="81">
        <f>I933*8910</f>
        <v>0</v>
      </c>
      <c r="K933" s="80"/>
      <c r="L933" s="11"/>
    </row>
    <row r="934" spans="2:12" s="9" customFormat="1" ht="30" customHeight="1" x14ac:dyDescent="0.3">
      <c r="B934" s="10"/>
      <c r="C934" s="88" t="s">
        <v>1097</v>
      </c>
      <c r="D934" s="89"/>
      <c r="E934" s="106"/>
      <c r="F934" s="89"/>
      <c r="G934" s="90"/>
      <c r="H934" s="89"/>
      <c r="I934" s="89"/>
      <c r="J934" s="89"/>
      <c r="K934" s="91"/>
      <c r="L934" s="10"/>
    </row>
    <row r="935" spans="2:12" s="9" customFormat="1" ht="13.5" customHeight="1" x14ac:dyDescent="0.2">
      <c r="B935" s="10"/>
      <c r="C935" s="99" t="s">
        <v>1098</v>
      </c>
      <c r="D935" s="76" t="s">
        <v>1099</v>
      </c>
      <c r="E935" s="104" t="s">
        <v>164</v>
      </c>
      <c r="F935" s="81">
        <v>2600</v>
      </c>
      <c r="G935" s="79" t="s">
        <v>98</v>
      </c>
      <c r="H935" s="77" t="s">
        <v>118</v>
      </c>
      <c r="I935" s="79"/>
      <c r="J935" s="81">
        <f>I935*2600</f>
        <v>0</v>
      </c>
      <c r="K935" s="80"/>
      <c r="L935" s="11"/>
    </row>
    <row r="936" spans="2:12" s="9" customFormat="1" ht="13.5" customHeight="1" x14ac:dyDescent="0.2">
      <c r="B936" s="10"/>
      <c r="C936" s="98" t="s">
        <v>1100</v>
      </c>
      <c r="D936" s="70" t="s">
        <v>1101</v>
      </c>
      <c r="E936" s="103" t="s">
        <v>158</v>
      </c>
      <c r="F936" s="75">
        <v>2490</v>
      </c>
      <c r="G936" s="73" t="s">
        <v>98</v>
      </c>
      <c r="H936" s="71" t="s">
        <v>118</v>
      </c>
      <c r="I936" s="73"/>
      <c r="J936" s="75">
        <f>I936*2490</f>
        <v>0</v>
      </c>
      <c r="K936" s="74"/>
      <c r="L936" s="11"/>
    </row>
    <row r="937" spans="2:12" s="9" customFormat="1" ht="13.5" customHeight="1" x14ac:dyDescent="0.2">
      <c r="B937" s="10"/>
      <c r="C937" s="98" t="s">
        <v>1102</v>
      </c>
      <c r="D937" s="70" t="s">
        <v>1103</v>
      </c>
      <c r="E937" s="103" t="s">
        <v>158</v>
      </c>
      <c r="F937" s="75">
        <v>3690</v>
      </c>
      <c r="G937" s="73" t="s">
        <v>98</v>
      </c>
      <c r="H937" s="71" t="s">
        <v>118</v>
      </c>
      <c r="I937" s="73"/>
      <c r="J937" s="75">
        <f>I937*3690</f>
        <v>0</v>
      </c>
      <c r="K937" s="74"/>
      <c r="L937" s="11"/>
    </row>
    <row r="938" spans="2:12" s="9" customFormat="1" ht="13.5" customHeight="1" x14ac:dyDescent="0.2">
      <c r="B938" s="10"/>
      <c r="C938" s="98" t="s">
        <v>1104</v>
      </c>
      <c r="D938" s="70" t="s">
        <v>1105</v>
      </c>
      <c r="E938" s="103" t="s">
        <v>158</v>
      </c>
      <c r="F938" s="75">
        <v>6100</v>
      </c>
      <c r="G938" s="73" t="s">
        <v>98</v>
      </c>
      <c r="H938" s="71" t="s">
        <v>118</v>
      </c>
      <c r="I938" s="73"/>
      <c r="J938" s="75">
        <f>I938*6100</f>
        <v>0</v>
      </c>
      <c r="K938" s="74"/>
      <c r="L938" s="11"/>
    </row>
    <row r="939" spans="2:12" s="9" customFormat="1" ht="13.5" customHeight="1" x14ac:dyDescent="0.2">
      <c r="B939" s="10"/>
      <c r="C939" s="98" t="s">
        <v>1106</v>
      </c>
      <c r="D939" s="70" t="s">
        <v>1107</v>
      </c>
      <c r="E939" s="103" t="s">
        <v>158</v>
      </c>
      <c r="F939" s="75">
        <v>6650</v>
      </c>
      <c r="G939" s="73" t="s">
        <v>98</v>
      </c>
      <c r="H939" s="71" t="s">
        <v>118</v>
      </c>
      <c r="I939" s="73"/>
      <c r="J939" s="75">
        <f>I939*6650</f>
        <v>0</v>
      </c>
      <c r="K939" s="74"/>
      <c r="L939" s="11"/>
    </row>
    <row r="940" spans="2:12" s="9" customFormat="1" ht="13.5" customHeight="1" x14ac:dyDescent="0.2">
      <c r="B940" s="10"/>
      <c r="C940" s="98" t="s">
        <v>1108</v>
      </c>
      <c r="D940" s="70" t="s">
        <v>1109</v>
      </c>
      <c r="E940" s="103" t="s">
        <v>158</v>
      </c>
      <c r="F940" s="75">
        <v>7490</v>
      </c>
      <c r="G940" s="73" t="s">
        <v>98</v>
      </c>
      <c r="H940" s="71" t="s">
        <v>118</v>
      </c>
      <c r="I940" s="73"/>
      <c r="J940" s="75">
        <f>I940*7490</f>
        <v>0</v>
      </c>
      <c r="K940" s="74"/>
      <c r="L940" s="11"/>
    </row>
    <row r="941" spans="2:12" s="9" customFormat="1" ht="13.5" customHeight="1" x14ac:dyDescent="0.2">
      <c r="B941" s="10"/>
      <c r="C941" s="98" t="s">
        <v>1110</v>
      </c>
      <c r="D941" s="70" t="s">
        <v>1111</v>
      </c>
      <c r="E941" s="103" t="s">
        <v>109</v>
      </c>
      <c r="F941" s="75">
        <v>6950</v>
      </c>
      <c r="G941" s="73" t="s">
        <v>98</v>
      </c>
      <c r="H941" s="71" t="s">
        <v>118</v>
      </c>
      <c r="I941" s="73"/>
      <c r="J941" s="75">
        <f>I941*6950</f>
        <v>0</v>
      </c>
      <c r="K941" s="74"/>
      <c r="L941" s="11"/>
    </row>
    <row r="942" spans="2:12" s="9" customFormat="1" ht="13.5" customHeight="1" x14ac:dyDescent="0.2">
      <c r="B942" s="10"/>
      <c r="C942" s="98" t="s">
        <v>1112</v>
      </c>
      <c r="D942" s="70" t="s">
        <v>1113</v>
      </c>
      <c r="E942" s="103" t="s">
        <v>25</v>
      </c>
      <c r="F942" s="75">
        <v>6418</v>
      </c>
      <c r="G942" s="73" t="s">
        <v>98</v>
      </c>
      <c r="H942" s="71" t="s">
        <v>118</v>
      </c>
      <c r="I942" s="73"/>
      <c r="J942" s="75">
        <f>I942*6418</f>
        <v>0</v>
      </c>
      <c r="K942" s="74"/>
      <c r="L942" s="11"/>
    </row>
    <row r="943" spans="2:12" s="9" customFormat="1" ht="13.5" customHeight="1" x14ac:dyDescent="0.2">
      <c r="B943" s="10"/>
      <c r="C943" s="98" t="s">
        <v>1114</v>
      </c>
      <c r="D943" s="70" t="s">
        <v>1115</v>
      </c>
      <c r="E943" s="103" t="s">
        <v>21</v>
      </c>
      <c r="F943" s="75">
        <v>5932</v>
      </c>
      <c r="G943" s="73" t="s">
        <v>98</v>
      </c>
      <c r="H943" s="71" t="s">
        <v>118</v>
      </c>
      <c r="I943" s="73"/>
      <c r="J943" s="75">
        <f>I943*5932</f>
        <v>0</v>
      </c>
      <c r="K943" s="74"/>
      <c r="L943" s="11"/>
    </row>
    <row r="944" spans="2:12" s="9" customFormat="1" ht="13.5" customHeight="1" x14ac:dyDescent="0.2">
      <c r="B944" s="10"/>
      <c r="C944" s="97" t="s">
        <v>1116</v>
      </c>
      <c r="D944" s="64" t="s">
        <v>1117</v>
      </c>
      <c r="E944" s="102" t="s">
        <v>21</v>
      </c>
      <c r="F944" s="69">
        <v>9050</v>
      </c>
      <c r="G944" s="67" t="s">
        <v>98</v>
      </c>
      <c r="H944" s="65" t="s">
        <v>118</v>
      </c>
      <c r="I944" s="67"/>
      <c r="J944" s="69">
        <f>I944*9050</f>
        <v>0</v>
      </c>
      <c r="K944" s="68"/>
      <c r="L944" s="11"/>
    </row>
    <row r="945" spans="2:12" s="1" customFormat="1" ht="44.1" customHeight="1" x14ac:dyDescent="0.2">
      <c r="B945" s="8"/>
      <c r="C945" s="63" t="s">
        <v>1118</v>
      </c>
      <c r="D945" s="62"/>
      <c r="E945" s="63"/>
      <c r="F945" s="108"/>
      <c r="G945" s="108"/>
      <c r="H945" s="63"/>
      <c r="I945" s="63"/>
      <c r="J945" s="63"/>
      <c r="K945" s="63"/>
      <c r="L945" s="8"/>
    </row>
    <row r="946" spans="2:12" s="9" customFormat="1" ht="13.5" customHeight="1" x14ac:dyDescent="0.2">
      <c r="B946" s="10"/>
      <c r="C946" s="98" t="s">
        <v>1119</v>
      </c>
      <c r="D946" s="70" t="s">
        <v>20</v>
      </c>
      <c r="E946" s="103" t="s">
        <v>299</v>
      </c>
      <c r="F946" s="75">
        <v>21476</v>
      </c>
      <c r="G946" s="73" t="s">
        <v>98</v>
      </c>
      <c r="H946" s="71" t="s">
        <v>118</v>
      </c>
      <c r="I946" s="73"/>
      <c r="J946" s="75">
        <f>I946*21476</f>
        <v>0</v>
      </c>
      <c r="K946" s="74"/>
      <c r="L946" s="11"/>
    </row>
    <row r="947" spans="2:12" s="9" customFormat="1" ht="30" customHeight="1" x14ac:dyDescent="0.3">
      <c r="B947" s="10"/>
      <c r="C947" s="88" t="s">
        <v>425</v>
      </c>
      <c r="D947" s="89"/>
      <c r="E947" s="106"/>
      <c r="F947" s="89"/>
      <c r="G947" s="90"/>
      <c r="H947" s="89"/>
      <c r="I947" s="89"/>
      <c r="J947" s="89"/>
      <c r="K947" s="91"/>
      <c r="L947" s="10"/>
    </row>
    <row r="948" spans="2:12" s="9" customFormat="1" ht="13.5" customHeight="1" x14ac:dyDescent="0.2">
      <c r="B948" s="10"/>
      <c r="C948" s="98" t="s">
        <v>1120</v>
      </c>
      <c r="D948" s="70" t="s">
        <v>1121</v>
      </c>
      <c r="E948" s="103" t="s">
        <v>587</v>
      </c>
      <c r="F948" s="75">
        <v>10395</v>
      </c>
      <c r="G948" s="73" t="s">
        <v>98</v>
      </c>
      <c r="H948" s="71" t="s">
        <v>118</v>
      </c>
      <c r="I948" s="73"/>
      <c r="J948" s="75">
        <f>I948*10395</f>
        <v>0</v>
      </c>
      <c r="K948" s="74"/>
      <c r="L948" s="11"/>
    </row>
    <row r="949" spans="2:12" s="9" customFormat="1" ht="13.5" customHeight="1" x14ac:dyDescent="0.2">
      <c r="B949" s="10"/>
      <c r="C949" s="98" t="s">
        <v>1122</v>
      </c>
      <c r="D949" s="70" t="s">
        <v>835</v>
      </c>
      <c r="E949" s="103" t="s">
        <v>25</v>
      </c>
      <c r="F949" s="75">
        <v>7627</v>
      </c>
      <c r="G949" s="73" t="s">
        <v>98</v>
      </c>
      <c r="H949" s="71" t="s">
        <v>118</v>
      </c>
      <c r="I949" s="73"/>
      <c r="J949" s="75">
        <f>I949*7627</f>
        <v>0</v>
      </c>
      <c r="K949" s="74"/>
      <c r="L949" s="11"/>
    </row>
    <row r="950" spans="2:12" s="9" customFormat="1" ht="13.5" customHeight="1" x14ac:dyDescent="0.2">
      <c r="B950" s="10"/>
      <c r="C950" s="98" t="s">
        <v>1123</v>
      </c>
      <c r="D950" s="70" t="s">
        <v>1124</v>
      </c>
      <c r="E950" s="103" t="s">
        <v>587</v>
      </c>
      <c r="F950" s="75">
        <v>12125</v>
      </c>
      <c r="G950" s="73" t="s">
        <v>98</v>
      </c>
      <c r="H950" s="71" t="s">
        <v>118</v>
      </c>
      <c r="I950" s="73"/>
      <c r="J950" s="75">
        <f>I950*12125</f>
        <v>0</v>
      </c>
      <c r="K950" s="74"/>
      <c r="L950" s="11"/>
    </row>
    <row r="951" spans="2:12" s="9" customFormat="1" ht="13.5" customHeight="1" x14ac:dyDescent="0.2">
      <c r="B951" s="10"/>
      <c r="C951" s="98" t="s">
        <v>1125</v>
      </c>
      <c r="D951" s="70" t="s">
        <v>839</v>
      </c>
      <c r="E951" s="103" t="s">
        <v>25</v>
      </c>
      <c r="F951" s="75">
        <v>11165</v>
      </c>
      <c r="G951" s="73" t="s">
        <v>98</v>
      </c>
      <c r="H951" s="71" t="s">
        <v>118</v>
      </c>
      <c r="I951" s="73"/>
      <c r="J951" s="75">
        <f>I951*11165</f>
        <v>0</v>
      </c>
      <c r="K951" s="74"/>
      <c r="L951" s="11"/>
    </row>
    <row r="952" spans="2:12" s="9" customFormat="1" ht="13.5" customHeight="1" x14ac:dyDescent="0.2">
      <c r="B952" s="10"/>
      <c r="C952" s="98" t="s">
        <v>1126</v>
      </c>
      <c r="D952" s="70" t="s">
        <v>839</v>
      </c>
      <c r="E952" s="103" t="s">
        <v>158</v>
      </c>
      <c r="F952" s="75">
        <v>11650</v>
      </c>
      <c r="G952" s="73" t="s">
        <v>98</v>
      </c>
      <c r="H952" s="71" t="s">
        <v>118</v>
      </c>
      <c r="I952" s="73"/>
      <c r="J952" s="75">
        <f>I952*11650</f>
        <v>0</v>
      </c>
      <c r="K952" s="74"/>
      <c r="L952" s="11"/>
    </row>
    <row r="953" spans="2:12" s="9" customFormat="1" ht="13.5" customHeight="1" x14ac:dyDescent="0.2">
      <c r="B953" s="10"/>
      <c r="C953" s="98" t="s">
        <v>1127</v>
      </c>
      <c r="D953" s="70" t="s">
        <v>839</v>
      </c>
      <c r="E953" s="103" t="s">
        <v>158</v>
      </c>
      <c r="F953" s="75">
        <v>11690</v>
      </c>
      <c r="G953" s="73" t="s">
        <v>98</v>
      </c>
      <c r="H953" s="71" t="s">
        <v>118</v>
      </c>
      <c r="I953" s="73"/>
      <c r="J953" s="75">
        <f>I953*11690</f>
        <v>0</v>
      </c>
      <c r="K953" s="74"/>
      <c r="L953" s="11"/>
    </row>
    <row r="954" spans="2:12" s="9" customFormat="1" ht="13.5" customHeight="1" x14ac:dyDescent="0.2">
      <c r="B954" s="10"/>
      <c r="C954" s="98" t="s">
        <v>1128</v>
      </c>
      <c r="D954" s="70" t="s">
        <v>839</v>
      </c>
      <c r="E954" s="103" t="s">
        <v>164</v>
      </c>
      <c r="F954" s="75">
        <v>14500</v>
      </c>
      <c r="G954" s="73" t="s">
        <v>98</v>
      </c>
      <c r="H954" s="71" t="s">
        <v>118</v>
      </c>
      <c r="I954" s="73"/>
      <c r="J954" s="75">
        <f>I954*14500</f>
        <v>0</v>
      </c>
      <c r="K954" s="74"/>
      <c r="L954" s="11"/>
    </row>
    <row r="955" spans="2:12" s="9" customFormat="1" ht="13.5" customHeight="1" x14ac:dyDescent="0.2">
      <c r="B955" s="10"/>
      <c r="C955" s="98" t="s">
        <v>1129</v>
      </c>
      <c r="D955" s="70" t="s">
        <v>1130</v>
      </c>
      <c r="E955" s="103" t="s">
        <v>164</v>
      </c>
      <c r="F955" s="75">
        <v>16650</v>
      </c>
      <c r="G955" s="73" t="s">
        <v>98</v>
      </c>
      <c r="H955" s="71" t="s">
        <v>118</v>
      </c>
      <c r="I955" s="73"/>
      <c r="J955" s="75">
        <f>I955*16650</f>
        <v>0</v>
      </c>
      <c r="K955" s="74"/>
      <c r="L955" s="11"/>
    </row>
    <row r="956" spans="2:12" s="9" customFormat="1" ht="13.5" customHeight="1" x14ac:dyDescent="0.2">
      <c r="B956" s="10"/>
      <c r="C956" s="98" t="s">
        <v>1131</v>
      </c>
      <c r="D956" s="70" t="s">
        <v>1132</v>
      </c>
      <c r="E956" s="103" t="s">
        <v>299</v>
      </c>
      <c r="F956" s="75">
        <v>18476</v>
      </c>
      <c r="G956" s="73" t="s">
        <v>98</v>
      </c>
      <c r="H956" s="71" t="s">
        <v>118</v>
      </c>
      <c r="I956" s="73"/>
      <c r="J956" s="75">
        <f>I956*18476</f>
        <v>0</v>
      </c>
      <c r="K956" s="74"/>
      <c r="L956" s="11"/>
    </row>
    <row r="957" spans="2:12" s="9" customFormat="1" ht="13.5" customHeight="1" x14ac:dyDescent="0.2">
      <c r="B957" s="10"/>
      <c r="C957" s="98" t="s">
        <v>1133</v>
      </c>
      <c r="D957" s="70" t="s">
        <v>1132</v>
      </c>
      <c r="E957" s="103" t="s">
        <v>413</v>
      </c>
      <c r="F957" s="75">
        <v>23403</v>
      </c>
      <c r="G957" s="73" t="s">
        <v>98</v>
      </c>
      <c r="H957" s="71" t="s">
        <v>118</v>
      </c>
      <c r="I957" s="73"/>
      <c r="J957" s="75">
        <f>I957*23403</f>
        <v>0</v>
      </c>
      <c r="K957" s="74"/>
      <c r="L957" s="11"/>
    </row>
    <row r="958" spans="2:12" s="9" customFormat="1" ht="13.5" customHeight="1" x14ac:dyDescent="0.2">
      <c r="B958" s="10"/>
      <c r="C958" s="98" t="s">
        <v>1134</v>
      </c>
      <c r="D958" s="70" t="s">
        <v>1135</v>
      </c>
      <c r="E958" s="103" t="s">
        <v>299</v>
      </c>
      <c r="F958" s="75">
        <v>11412</v>
      </c>
      <c r="G958" s="73" t="s">
        <v>98</v>
      </c>
      <c r="H958" s="71" t="s">
        <v>118</v>
      </c>
      <c r="I958" s="73"/>
      <c r="J958" s="75">
        <f>I958*11412</f>
        <v>0</v>
      </c>
      <c r="K958" s="74"/>
      <c r="L958" s="11"/>
    </row>
    <row r="959" spans="2:12" s="9" customFormat="1" ht="13.5" customHeight="1" x14ac:dyDescent="0.2">
      <c r="B959" s="10"/>
      <c r="C959" s="99" t="s">
        <v>1136</v>
      </c>
      <c r="D959" s="76" t="s">
        <v>1135</v>
      </c>
      <c r="E959" s="104" t="s">
        <v>25</v>
      </c>
      <c r="F959" s="81">
        <v>13473</v>
      </c>
      <c r="G959" s="79" t="s">
        <v>98</v>
      </c>
      <c r="H959" s="77" t="s">
        <v>118</v>
      </c>
      <c r="I959" s="79"/>
      <c r="J959" s="81">
        <f>I959*13473</f>
        <v>0</v>
      </c>
      <c r="K959" s="80"/>
      <c r="L959" s="11"/>
    </row>
    <row r="960" spans="2:12" s="9" customFormat="1" ht="13.5" customHeight="1" x14ac:dyDescent="0.2">
      <c r="B960" s="10"/>
      <c r="C960" s="98" t="s">
        <v>1137</v>
      </c>
      <c r="D960" s="70" t="s">
        <v>1135</v>
      </c>
      <c r="E960" s="103" t="s">
        <v>25</v>
      </c>
      <c r="F960" s="75">
        <v>13593</v>
      </c>
      <c r="G960" s="73" t="s">
        <v>98</v>
      </c>
      <c r="H960" s="71" t="s">
        <v>118</v>
      </c>
      <c r="I960" s="73"/>
      <c r="J960" s="75">
        <f>I960*13593</f>
        <v>0</v>
      </c>
      <c r="K960" s="74"/>
      <c r="L960" s="11"/>
    </row>
    <row r="961" spans="2:12" s="9" customFormat="1" ht="13.5" customHeight="1" x14ac:dyDescent="0.2">
      <c r="B961" s="10"/>
      <c r="C961" s="98" t="s">
        <v>1138</v>
      </c>
      <c r="D961" s="70" t="s">
        <v>1135</v>
      </c>
      <c r="E961" s="103" t="s">
        <v>109</v>
      </c>
      <c r="F961" s="75">
        <v>20990</v>
      </c>
      <c r="G961" s="73" t="s">
        <v>98</v>
      </c>
      <c r="H961" s="71" t="s">
        <v>118</v>
      </c>
      <c r="I961" s="73"/>
      <c r="J961" s="75">
        <f>I961*20990</f>
        <v>0</v>
      </c>
      <c r="K961" s="74"/>
      <c r="L961" s="11"/>
    </row>
    <row r="962" spans="2:12" s="9" customFormat="1" ht="13.5" customHeight="1" x14ac:dyDescent="0.2">
      <c r="B962" s="10"/>
      <c r="C962" s="100" t="s">
        <v>1139</v>
      </c>
      <c r="D962" s="82" t="s">
        <v>1140</v>
      </c>
      <c r="E962" s="105" t="s">
        <v>25</v>
      </c>
      <c r="F962" s="87">
        <v>16633</v>
      </c>
      <c r="G962" s="85" t="s">
        <v>98</v>
      </c>
      <c r="H962" s="83" t="s">
        <v>118</v>
      </c>
      <c r="I962" s="85"/>
      <c r="J962" s="87">
        <f>I962*16633</f>
        <v>0</v>
      </c>
      <c r="K962" s="86"/>
      <c r="L962" s="11"/>
    </row>
    <row r="963" spans="2:12" s="9" customFormat="1" ht="13.5" customHeight="1" x14ac:dyDescent="0.2">
      <c r="B963" s="10"/>
      <c r="C963" s="98" t="s">
        <v>1141</v>
      </c>
      <c r="D963" s="70" t="s">
        <v>1142</v>
      </c>
      <c r="E963" s="103" t="s">
        <v>164</v>
      </c>
      <c r="F963" s="75">
        <v>29500</v>
      </c>
      <c r="G963" s="73" t="s">
        <v>98</v>
      </c>
      <c r="H963" s="71" t="s">
        <v>118</v>
      </c>
      <c r="I963" s="73"/>
      <c r="J963" s="75">
        <f>I963*29500</f>
        <v>0</v>
      </c>
      <c r="K963" s="74"/>
      <c r="L963" s="11"/>
    </row>
    <row r="964" spans="2:12" s="9" customFormat="1" ht="13.5" customHeight="1" x14ac:dyDescent="0.2">
      <c r="B964" s="10"/>
      <c r="C964" s="98" t="s">
        <v>1143</v>
      </c>
      <c r="D964" s="70" t="s">
        <v>1144</v>
      </c>
      <c r="E964" s="103" t="s">
        <v>164</v>
      </c>
      <c r="F964" s="75">
        <v>35900</v>
      </c>
      <c r="G964" s="73" t="s">
        <v>98</v>
      </c>
      <c r="H964" s="71" t="s">
        <v>118</v>
      </c>
      <c r="I964" s="73"/>
      <c r="J964" s="75">
        <f>I964*35900</f>
        <v>0</v>
      </c>
      <c r="K964" s="74"/>
      <c r="L964" s="11"/>
    </row>
    <row r="965" spans="2:12" s="9" customFormat="1" ht="13.5" customHeight="1" x14ac:dyDescent="0.2">
      <c r="B965" s="10"/>
      <c r="C965" s="98" t="s">
        <v>1145</v>
      </c>
      <c r="D965" s="70" t="s">
        <v>1146</v>
      </c>
      <c r="E965" s="103" t="s">
        <v>109</v>
      </c>
      <c r="F965" s="75">
        <v>51200</v>
      </c>
      <c r="G965" s="73" t="s">
        <v>98</v>
      </c>
      <c r="H965" s="71" t="s">
        <v>118</v>
      </c>
      <c r="I965" s="73"/>
      <c r="J965" s="75">
        <f>I965*51200</f>
        <v>0</v>
      </c>
      <c r="K965" s="74"/>
      <c r="L965" s="11"/>
    </row>
    <row r="966" spans="2:12" s="9" customFormat="1" ht="30" customHeight="1" x14ac:dyDescent="0.3">
      <c r="B966" s="10"/>
      <c r="C966" s="88" t="s">
        <v>483</v>
      </c>
      <c r="D966" s="89"/>
      <c r="E966" s="106"/>
      <c r="F966" s="89"/>
      <c r="G966" s="90"/>
      <c r="H966" s="89"/>
      <c r="I966" s="89"/>
      <c r="J966" s="89"/>
      <c r="K966" s="91"/>
      <c r="L966" s="10"/>
    </row>
    <row r="967" spans="2:12" s="9" customFormat="1" ht="13.5" customHeight="1" x14ac:dyDescent="0.2">
      <c r="B967" s="10"/>
      <c r="C967" s="98" t="s">
        <v>1147</v>
      </c>
      <c r="D967" s="70" t="s">
        <v>859</v>
      </c>
      <c r="E967" s="103" t="s">
        <v>21</v>
      </c>
      <c r="F967" s="75">
        <v>12713</v>
      </c>
      <c r="G967" s="73" t="s">
        <v>98</v>
      </c>
      <c r="H967" s="71" t="s">
        <v>118</v>
      </c>
      <c r="I967" s="73"/>
      <c r="J967" s="75">
        <f>I967*12713</f>
        <v>0</v>
      </c>
      <c r="K967" s="74"/>
      <c r="L967" s="11"/>
    </row>
    <row r="968" spans="2:12" s="9" customFormat="1" ht="30" customHeight="1" x14ac:dyDescent="0.3">
      <c r="B968" s="10"/>
      <c r="C968" s="88" t="s">
        <v>491</v>
      </c>
      <c r="D968" s="89"/>
      <c r="E968" s="106"/>
      <c r="F968" s="89"/>
      <c r="G968" s="90"/>
      <c r="H968" s="89"/>
      <c r="I968" s="89"/>
      <c r="J968" s="89"/>
      <c r="K968" s="91"/>
      <c r="L968" s="10"/>
    </row>
    <row r="969" spans="2:12" s="9" customFormat="1" ht="13.5" customHeight="1" x14ac:dyDescent="0.2">
      <c r="B969" s="10"/>
      <c r="C969" s="100" t="s">
        <v>1148</v>
      </c>
      <c r="D969" s="82" t="s">
        <v>1149</v>
      </c>
      <c r="E969" s="105" t="s">
        <v>587</v>
      </c>
      <c r="F969" s="87">
        <v>7920</v>
      </c>
      <c r="G969" s="85" t="s">
        <v>98</v>
      </c>
      <c r="H969" s="83" t="s">
        <v>118</v>
      </c>
      <c r="I969" s="85"/>
      <c r="J969" s="87">
        <f>I969*7920</f>
        <v>0</v>
      </c>
      <c r="K969" s="86"/>
      <c r="L969" s="11"/>
    </row>
    <row r="970" spans="2:12" s="9" customFormat="1" ht="13.5" customHeight="1" x14ac:dyDescent="0.2">
      <c r="B970" s="10"/>
      <c r="C970" s="98" t="s">
        <v>1150</v>
      </c>
      <c r="D970" s="70" t="s">
        <v>1149</v>
      </c>
      <c r="E970" s="103" t="s">
        <v>109</v>
      </c>
      <c r="F970" s="75">
        <v>13650</v>
      </c>
      <c r="G970" s="73" t="s">
        <v>98</v>
      </c>
      <c r="H970" s="71" t="s">
        <v>118</v>
      </c>
      <c r="I970" s="73"/>
      <c r="J970" s="75">
        <f>I970*13650</f>
        <v>0</v>
      </c>
      <c r="K970" s="74"/>
      <c r="L970" s="11"/>
    </row>
    <row r="971" spans="2:12" s="9" customFormat="1" ht="13.5" customHeight="1" x14ac:dyDescent="0.2">
      <c r="B971" s="10"/>
      <c r="C971" s="98" t="s">
        <v>1151</v>
      </c>
      <c r="D971" s="70" t="s">
        <v>1149</v>
      </c>
      <c r="E971" s="103" t="s">
        <v>109</v>
      </c>
      <c r="F971" s="75">
        <v>13650</v>
      </c>
      <c r="G971" s="73" t="s">
        <v>98</v>
      </c>
      <c r="H971" s="71" t="s">
        <v>118</v>
      </c>
      <c r="I971" s="73"/>
      <c r="J971" s="75">
        <f>I971*13650</f>
        <v>0</v>
      </c>
      <c r="K971" s="74"/>
      <c r="L971" s="11"/>
    </row>
    <row r="972" spans="2:12" s="9" customFormat="1" ht="13.5" customHeight="1" x14ac:dyDescent="0.2">
      <c r="B972" s="10"/>
      <c r="C972" s="98" t="s">
        <v>1152</v>
      </c>
      <c r="D972" s="70" t="s">
        <v>1149</v>
      </c>
      <c r="E972" s="103" t="s">
        <v>109</v>
      </c>
      <c r="F972" s="75">
        <v>13950</v>
      </c>
      <c r="G972" s="73" t="s">
        <v>98</v>
      </c>
      <c r="H972" s="71" t="s">
        <v>118</v>
      </c>
      <c r="I972" s="73"/>
      <c r="J972" s="75">
        <f>I972*13950</f>
        <v>0</v>
      </c>
      <c r="K972" s="74"/>
      <c r="L972" s="11"/>
    </row>
    <row r="973" spans="2:12" s="9" customFormat="1" ht="13.5" customHeight="1" x14ac:dyDescent="0.2">
      <c r="B973" s="10"/>
      <c r="C973" s="98" t="s">
        <v>1153</v>
      </c>
      <c r="D973" s="70" t="s">
        <v>1154</v>
      </c>
      <c r="E973" s="103" t="s">
        <v>587</v>
      </c>
      <c r="F973" s="75">
        <v>9475</v>
      </c>
      <c r="G973" s="73" t="s">
        <v>98</v>
      </c>
      <c r="H973" s="71" t="s">
        <v>118</v>
      </c>
      <c r="I973" s="73"/>
      <c r="J973" s="75">
        <f>I973*9475</f>
        <v>0</v>
      </c>
      <c r="K973" s="74"/>
      <c r="L973" s="11"/>
    </row>
    <row r="974" spans="2:12" s="9" customFormat="1" ht="13.5" customHeight="1" x14ac:dyDescent="0.2">
      <c r="B974" s="10"/>
      <c r="C974" s="98" t="s">
        <v>1155</v>
      </c>
      <c r="D974" s="70" t="s">
        <v>1154</v>
      </c>
      <c r="E974" s="103" t="s">
        <v>158</v>
      </c>
      <c r="F974" s="75">
        <v>11750</v>
      </c>
      <c r="G974" s="73" t="s">
        <v>98</v>
      </c>
      <c r="H974" s="71" t="s">
        <v>118</v>
      </c>
      <c r="I974" s="73"/>
      <c r="J974" s="75">
        <f>I974*11750</f>
        <v>0</v>
      </c>
      <c r="K974" s="74"/>
      <c r="L974" s="11"/>
    </row>
    <row r="975" spans="2:12" s="9" customFormat="1" ht="13.5" customHeight="1" x14ac:dyDescent="0.2">
      <c r="B975" s="10"/>
      <c r="C975" s="100" t="s">
        <v>1156</v>
      </c>
      <c r="D975" s="82" t="s">
        <v>1157</v>
      </c>
      <c r="E975" s="105" t="s">
        <v>299</v>
      </c>
      <c r="F975" s="87">
        <v>8594</v>
      </c>
      <c r="G975" s="85" t="s">
        <v>98</v>
      </c>
      <c r="H975" s="83" t="s">
        <v>118</v>
      </c>
      <c r="I975" s="85"/>
      <c r="J975" s="87">
        <f>I975*8594</f>
        <v>0</v>
      </c>
      <c r="K975" s="86"/>
      <c r="L975" s="11"/>
    </row>
    <row r="976" spans="2:12" s="9" customFormat="1" ht="13.5" customHeight="1" x14ac:dyDescent="0.2">
      <c r="B976" s="10"/>
      <c r="C976" s="98" t="s">
        <v>1158</v>
      </c>
      <c r="D976" s="70" t="s">
        <v>1157</v>
      </c>
      <c r="E976" s="103" t="s">
        <v>299</v>
      </c>
      <c r="F976" s="75">
        <v>9417</v>
      </c>
      <c r="G976" s="73" t="s">
        <v>98</v>
      </c>
      <c r="H976" s="71" t="s">
        <v>118</v>
      </c>
      <c r="I976" s="73"/>
      <c r="J976" s="75">
        <f>I976*9417</f>
        <v>0</v>
      </c>
      <c r="K976" s="74"/>
      <c r="L976" s="11"/>
    </row>
    <row r="977" spans="2:12" s="9" customFormat="1" ht="13.5" customHeight="1" x14ac:dyDescent="0.2">
      <c r="B977" s="10"/>
      <c r="C977" s="98" t="s">
        <v>1159</v>
      </c>
      <c r="D977" s="70" t="s">
        <v>1157</v>
      </c>
      <c r="E977" s="103" t="s">
        <v>314</v>
      </c>
      <c r="F977" s="75">
        <v>10660</v>
      </c>
      <c r="G977" s="73" t="s">
        <v>98</v>
      </c>
      <c r="H977" s="71" t="s">
        <v>118</v>
      </c>
      <c r="I977" s="73"/>
      <c r="J977" s="75">
        <f>I977*10660</f>
        <v>0</v>
      </c>
      <c r="K977" s="74"/>
      <c r="L977" s="11"/>
    </row>
    <row r="978" spans="2:12" s="9" customFormat="1" ht="13.5" customHeight="1" x14ac:dyDescent="0.2">
      <c r="B978" s="10"/>
      <c r="C978" s="98" t="s">
        <v>1160</v>
      </c>
      <c r="D978" s="70" t="s">
        <v>1157</v>
      </c>
      <c r="E978" s="103" t="s">
        <v>158</v>
      </c>
      <c r="F978" s="75">
        <v>12290</v>
      </c>
      <c r="G978" s="73" t="s">
        <v>98</v>
      </c>
      <c r="H978" s="71" t="s">
        <v>118</v>
      </c>
      <c r="I978" s="73"/>
      <c r="J978" s="75">
        <f>I978*12290</f>
        <v>0</v>
      </c>
      <c r="K978" s="74"/>
      <c r="L978" s="11"/>
    </row>
    <row r="979" spans="2:12" s="9" customFormat="1" ht="13.5" customHeight="1" x14ac:dyDescent="0.2">
      <c r="B979" s="10"/>
      <c r="C979" s="98" t="s">
        <v>1161</v>
      </c>
      <c r="D979" s="70" t="s">
        <v>1157</v>
      </c>
      <c r="E979" s="103" t="s">
        <v>164</v>
      </c>
      <c r="F979" s="75">
        <v>12899</v>
      </c>
      <c r="G979" s="73" t="s">
        <v>98</v>
      </c>
      <c r="H979" s="71" t="s">
        <v>118</v>
      </c>
      <c r="I979" s="73"/>
      <c r="J979" s="75">
        <f>I979*12899</f>
        <v>0</v>
      </c>
      <c r="K979" s="74"/>
      <c r="L979" s="11"/>
    </row>
    <row r="980" spans="2:12" s="9" customFormat="1" ht="13.5" customHeight="1" x14ac:dyDescent="0.2">
      <c r="B980" s="10"/>
      <c r="C980" s="98" t="s">
        <v>1162</v>
      </c>
      <c r="D980" s="70" t="s">
        <v>1163</v>
      </c>
      <c r="E980" s="103" t="s">
        <v>158</v>
      </c>
      <c r="F980" s="75">
        <v>13590</v>
      </c>
      <c r="G980" s="73" t="s">
        <v>98</v>
      </c>
      <c r="H980" s="71" t="s">
        <v>118</v>
      </c>
      <c r="I980" s="73"/>
      <c r="J980" s="75">
        <f>I980*13590</f>
        <v>0</v>
      </c>
      <c r="K980" s="74"/>
      <c r="L980" s="11"/>
    </row>
    <row r="981" spans="2:12" s="9" customFormat="1" ht="13.5" customHeight="1" x14ac:dyDescent="0.2">
      <c r="B981" s="10"/>
      <c r="C981" s="98" t="s">
        <v>1164</v>
      </c>
      <c r="D981" s="70" t="s">
        <v>1165</v>
      </c>
      <c r="E981" s="103" t="s">
        <v>21</v>
      </c>
      <c r="F981" s="75">
        <v>24748</v>
      </c>
      <c r="G981" s="73" t="s">
        <v>98</v>
      </c>
      <c r="H981" s="71" t="s">
        <v>118</v>
      </c>
      <c r="I981" s="73"/>
      <c r="J981" s="75">
        <f>I981*24748</f>
        <v>0</v>
      </c>
      <c r="K981" s="74"/>
      <c r="L981" s="11"/>
    </row>
    <row r="982" spans="2:12" s="9" customFormat="1" ht="13.5" customHeight="1" x14ac:dyDescent="0.2">
      <c r="B982" s="10"/>
      <c r="C982" s="98" t="s">
        <v>1166</v>
      </c>
      <c r="D982" s="70" t="s">
        <v>1167</v>
      </c>
      <c r="E982" s="103" t="s">
        <v>25</v>
      </c>
      <c r="F982" s="75">
        <v>22405</v>
      </c>
      <c r="G982" s="73" t="s">
        <v>98</v>
      </c>
      <c r="H982" s="71" t="s">
        <v>118</v>
      </c>
      <c r="I982" s="73"/>
      <c r="J982" s="75">
        <f>I982*22405</f>
        <v>0</v>
      </c>
      <c r="K982" s="74"/>
      <c r="L982" s="11"/>
    </row>
    <row r="983" spans="2:12" s="9" customFormat="1" ht="13.5" customHeight="1" x14ac:dyDescent="0.2">
      <c r="B983" s="10"/>
      <c r="C983" s="98" t="s">
        <v>1168</v>
      </c>
      <c r="D983" s="70" t="s">
        <v>1167</v>
      </c>
      <c r="E983" s="103" t="s">
        <v>164</v>
      </c>
      <c r="F983" s="75">
        <v>26400</v>
      </c>
      <c r="G983" s="73" t="s">
        <v>98</v>
      </c>
      <c r="H983" s="71" t="s">
        <v>118</v>
      </c>
      <c r="I983" s="73"/>
      <c r="J983" s="75">
        <f>I983*26400</f>
        <v>0</v>
      </c>
      <c r="K983" s="74"/>
      <c r="L983" s="11"/>
    </row>
    <row r="984" spans="2:12" s="9" customFormat="1" ht="13.5" customHeight="1" x14ac:dyDescent="0.2">
      <c r="B984" s="10"/>
      <c r="C984" s="97" t="s">
        <v>1169</v>
      </c>
      <c r="D984" s="64" t="s">
        <v>1170</v>
      </c>
      <c r="E984" s="102" t="s">
        <v>109</v>
      </c>
      <c r="F984" s="69">
        <v>22495</v>
      </c>
      <c r="G984" s="67" t="s">
        <v>98</v>
      </c>
      <c r="H984" s="65" t="s">
        <v>118</v>
      </c>
      <c r="I984" s="67"/>
      <c r="J984" s="69">
        <f>I984*22495</f>
        <v>0</v>
      </c>
      <c r="K984" s="68"/>
      <c r="L984" s="11"/>
    </row>
    <row r="985" spans="2:12" s="9" customFormat="1" ht="13.5" customHeight="1" x14ac:dyDescent="0.2">
      <c r="B985" s="10"/>
      <c r="C985" s="97" t="s">
        <v>1171</v>
      </c>
      <c r="D985" s="64" t="s">
        <v>1172</v>
      </c>
      <c r="E985" s="102" t="s">
        <v>109</v>
      </c>
      <c r="F985" s="69">
        <v>23495</v>
      </c>
      <c r="G985" s="67" t="s">
        <v>98</v>
      </c>
      <c r="H985" s="65" t="s">
        <v>118</v>
      </c>
      <c r="I985" s="67"/>
      <c r="J985" s="69">
        <f>I985*23495</f>
        <v>0</v>
      </c>
      <c r="K985" s="68"/>
      <c r="L985" s="11"/>
    </row>
    <row r="986" spans="2:12" s="9" customFormat="1" ht="13.5" customHeight="1" x14ac:dyDescent="0.2">
      <c r="B986" s="10"/>
      <c r="C986" s="98" t="s">
        <v>1173</v>
      </c>
      <c r="D986" s="70" t="s">
        <v>1174</v>
      </c>
      <c r="E986" s="103" t="s">
        <v>109</v>
      </c>
      <c r="F986" s="75">
        <v>60800</v>
      </c>
      <c r="G986" s="73" t="s">
        <v>98</v>
      </c>
      <c r="H986" s="71" t="s">
        <v>118</v>
      </c>
      <c r="I986" s="73"/>
      <c r="J986" s="75">
        <f>I986*60800</f>
        <v>0</v>
      </c>
      <c r="K986" s="74"/>
      <c r="L986" s="11"/>
    </row>
    <row r="987" spans="2:12" s="9" customFormat="1" ht="30" customHeight="1" x14ac:dyDescent="0.3">
      <c r="B987" s="10"/>
      <c r="C987" s="88" t="s">
        <v>954</v>
      </c>
      <c r="D987" s="89"/>
      <c r="E987" s="106"/>
      <c r="F987" s="89"/>
      <c r="G987" s="90"/>
      <c r="H987" s="89"/>
      <c r="I987" s="89"/>
      <c r="J987" s="89"/>
      <c r="K987" s="91"/>
      <c r="L987" s="10"/>
    </row>
    <row r="988" spans="2:12" s="9" customFormat="1" ht="13.5" customHeight="1" x14ac:dyDescent="0.2">
      <c r="B988" s="10"/>
      <c r="C988" s="99" t="s">
        <v>1175</v>
      </c>
      <c r="D988" s="76" t="s">
        <v>1176</v>
      </c>
      <c r="E988" s="104" t="s">
        <v>158</v>
      </c>
      <c r="F988" s="81">
        <v>9690</v>
      </c>
      <c r="G988" s="79" t="s">
        <v>98</v>
      </c>
      <c r="H988" s="77" t="s">
        <v>118</v>
      </c>
      <c r="I988" s="79"/>
      <c r="J988" s="81">
        <f>I988*9690</f>
        <v>0</v>
      </c>
      <c r="K988" s="80"/>
      <c r="L988" s="11"/>
    </row>
    <row r="989" spans="2:12" s="9" customFormat="1" ht="13.5" customHeight="1" x14ac:dyDescent="0.2">
      <c r="B989" s="10"/>
      <c r="C989" s="98" t="s">
        <v>1177</v>
      </c>
      <c r="D989" s="70" t="s">
        <v>1176</v>
      </c>
      <c r="E989" s="103" t="s">
        <v>299</v>
      </c>
      <c r="F989" s="75">
        <v>10714</v>
      </c>
      <c r="G989" s="73" t="s">
        <v>98</v>
      </c>
      <c r="H989" s="71" t="s">
        <v>118</v>
      </c>
      <c r="I989" s="73"/>
      <c r="J989" s="75">
        <f>I989*10714</f>
        <v>0</v>
      </c>
      <c r="K989" s="74"/>
      <c r="L989" s="11"/>
    </row>
    <row r="990" spans="2:12" s="9" customFormat="1" ht="13.5" customHeight="1" x14ac:dyDescent="0.2">
      <c r="B990" s="10"/>
      <c r="C990" s="98" t="s">
        <v>1178</v>
      </c>
      <c r="D990" s="70" t="s">
        <v>1021</v>
      </c>
      <c r="E990" s="103" t="s">
        <v>109</v>
      </c>
      <c r="F990" s="75">
        <v>12600</v>
      </c>
      <c r="G990" s="73" t="s">
        <v>98</v>
      </c>
      <c r="H990" s="71" t="s">
        <v>118</v>
      </c>
      <c r="I990" s="73"/>
      <c r="J990" s="75">
        <f>I990*12600</f>
        <v>0</v>
      </c>
      <c r="K990" s="74"/>
      <c r="L990" s="11"/>
    </row>
    <row r="991" spans="2:12" s="9" customFormat="1" ht="13.5" customHeight="1" x14ac:dyDescent="0.2">
      <c r="B991" s="10"/>
      <c r="C991" s="98" t="s">
        <v>1179</v>
      </c>
      <c r="D991" s="70" t="s">
        <v>1180</v>
      </c>
      <c r="E991" s="103" t="s">
        <v>109</v>
      </c>
      <c r="F991" s="75">
        <v>14150</v>
      </c>
      <c r="G991" s="73" t="s">
        <v>98</v>
      </c>
      <c r="H991" s="71" t="s">
        <v>118</v>
      </c>
      <c r="I991" s="73"/>
      <c r="J991" s="75">
        <f>I991*14150</f>
        <v>0</v>
      </c>
      <c r="K991" s="74"/>
      <c r="L991" s="11"/>
    </row>
    <row r="992" spans="2:12" s="9" customFormat="1" ht="13.5" customHeight="1" x14ac:dyDescent="0.2">
      <c r="B992" s="10"/>
      <c r="C992" s="99" t="s">
        <v>1181</v>
      </c>
      <c r="D992" s="76" t="s">
        <v>1180</v>
      </c>
      <c r="E992" s="104" t="s">
        <v>109</v>
      </c>
      <c r="F992" s="81">
        <v>14915</v>
      </c>
      <c r="G992" s="79" t="s">
        <v>98</v>
      </c>
      <c r="H992" s="77" t="s">
        <v>118</v>
      </c>
      <c r="I992" s="79"/>
      <c r="J992" s="81">
        <f>I992*14915</f>
        <v>0</v>
      </c>
      <c r="K992" s="80"/>
      <c r="L992" s="11"/>
    </row>
    <row r="993" spans="2:12" s="9" customFormat="1" ht="13.5" customHeight="1" x14ac:dyDescent="0.2">
      <c r="B993" s="10"/>
      <c r="C993" s="99" t="s">
        <v>1182</v>
      </c>
      <c r="D993" s="76" t="s">
        <v>1180</v>
      </c>
      <c r="E993" s="104" t="s">
        <v>109</v>
      </c>
      <c r="F993" s="81">
        <v>14915</v>
      </c>
      <c r="G993" s="79" t="s">
        <v>98</v>
      </c>
      <c r="H993" s="77" t="s">
        <v>118</v>
      </c>
      <c r="I993" s="79"/>
      <c r="J993" s="81">
        <f>I993*14915</f>
        <v>0</v>
      </c>
      <c r="K993" s="80"/>
      <c r="L993" s="11"/>
    </row>
    <row r="994" spans="2:12" s="9" customFormat="1" ht="13.5" customHeight="1" x14ac:dyDescent="0.2">
      <c r="B994" s="10"/>
      <c r="C994" s="98" t="s">
        <v>1183</v>
      </c>
      <c r="D994" s="70" t="s">
        <v>1180</v>
      </c>
      <c r="E994" s="103" t="s">
        <v>21</v>
      </c>
      <c r="F994" s="75">
        <v>16015</v>
      </c>
      <c r="G994" s="73" t="s">
        <v>98</v>
      </c>
      <c r="H994" s="71" t="s">
        <v>118</v>
      </c>
      <c r="I994" s="73"/>
      <c r="J994" s="75">
        <f>I994*16015</f>
        <v>0</v>
      </c>
      <c r="K994" s="74"/>
      <c r="L994" s="11"/>
    </row>
    <row r="995" spans="2:12" s="9" customFormat="1" ht="13.5" customHeight="1" x14ac:dyDescent="0.2">
      <c r="B995" s="10"/>
      <c r="C995" s="98" t="s">
        <v>1184</v>
      </c>
      <c r="D995" s="70" t="s">
        <v>1180</v>
      </c>
      <c r="E995" s="103" t="s">
        <v>109</v>
      </c>
      <c r="F995" s="75">
        <v>25000</v>
      </c>
      <c r="G995" s="73" t="s">
        <v>98</v>
      </c>
      <c r="H995" s="71" t="s">
        <v>118</v>
      </c>
      <c r="I995" s="73"/>
      <c r="J995" s="75">
        <f>I995*25000</f>
        <v>0</v>
      </c>
      <c r="K995" s="74"/>
      <c r="L995" s="11"/>
    </row>
    <row r="996" spans="2:12" s="9" customFormat="1" ht="30" customHeight="1" x14ac:dyDescent="0.3">
      <c r="B996" s="10"/>
      <c r="C996" s="88" t="s">
        <v>521</v>
      </c>
      <c r="D996" s="89"/>
      <c r="E996" s="106"/>
      <c r="F996" s="89"/>
      <c r="G996" s="90"/>
      <c r="H996" s="89"/>
      <c r="I996" s="89"/>
      <c r="J996" s="89"/>
      <c r="K996" s="91"/>
      <c r="L996" s="10"/>
    </row>
    <row r="997" spans="2:12" s="9" customFormat="1" ht="13.5" customHeight="1" x14ac:dyDescent="0.2">
      <c r="B997" s="10"/>
      <c r="C997" s="98" t="s">
        <v>1185</v>
      </c>
      <c r="D997" s="70" t="s">
        <v>1094</v>
      </c>
      <c r="E997" s="103" t="s">
        <v>299</v>
      </c>
      <c r="F997" s="75">
        <v>6493</v>
      </c>
      <c r="G997" s="73" t="s">
        <v>98</v>
      </c>
      <c r="H997" s="71" t="s">
        <v>118</v>
      </c>
      <c r="I997" s="73"/>
      <c r="J997" s="75">
        <f>I997*6493</f>
        <v>0</v>
      </c>
      <c r="K997" s="74"/>
      <c r="L997" s="11"/>
    </row>
    <row r="998" spans="2:12" s="9" customFormat="1" ht="13.5" customHeight="1" x14ac:dyDescent="0.2">
      <c r="B998" s="10"/>
      <c r="C998" s="100" t="s">
        <v>1186</v>
      </c>
      <c r="D998" s="82" t="s">
        <v>1094</v>
      </c>
      <c r="E998" s="105" t="s">
        <v>164</v>
      </c>
      <c r="F998" s="87">
        <v>7410</v>
      </c>
      <c r="G998" s="85" t="s">
        <v>98</v>
      </c>
      <c r="H998" s="83" t="s">
        <v>118</v>
      </c>
      <c r="I998" s="85"/>
      <c r="J998" s="87">
        <f>I998*7410</f>
        <v>0</v>
      </c>
      <c r="K998" s="86"/>
      <c r="L998" s="11"/>
    </row>
    <row r="999" spans="2:12" s="9" customFormat="1" ht="13.5" customHeight="1" x14ac:dyDescent="0.2">
      <c r="B999" s="10"/>
      <c r="C999" s="100" t="s">
        <v>1187</v>
      </c>
      <c r="D999" s="82" t="s">
        <v>1094</v>
      </c>
      <c r="E999" s="105" t="s">
        <v>164</v>
      </c>
      <c r="F999" s="87">
        <v>7410</v>
      </c>
      <c r="G999" s="85" t="s">
        <v>98</v>
      </c>
      <c r="H999" s="83" t="s">
        <v>118</v>
      </c>
      <c r="I999" s="85"/>
      <c r="J999" s="87">
        <f>I999*7410</f>
        <v>0</v>
      </c>
      <c r="K999" s="86"/>
      <c r="L999" s="11"/>
    </row>
    <row r="1000" spans="2:12" s="9" customFormat="1" ht="13.5" customHeight="1" x14ac:dyDescent="0.2">
      <c r="B1000" s="10"/>
      <c r="C1000" s="98" t="s">
        <v>1188</v>
      </c>
      <c r="D1000" s="70" t="s">
        <v>1094</v>
      </c>
      <c r="E1000" s="103" t="s">
        <v>158</v>
      </c>
      <c r="F1000" s="75">
        <v>7930</v>
      </c>
      <c r="G1000" s="73" t="s">
        <v>98</v>
      </c>
      <c r="H1000" s="71" t="s">
        <v>118</v>
      </c>
      <c r="I1000" s="73"/>
      <c r="J1000" s="75">
        <f>I1000*7930</f>
        <v>0</v>
      </c>
      <c r="K1000" s="74"/>
      <c r="L1000" s="11"/>
    </row>
    <row r="1001" spans="2:12" s="9" customFormat="1" ht="13.5" customHeight="1" x14ac:dyDescent="0.2">
      <c r="B1001" s="10"/>
      <c r="C1001" s="98" t="s">
        <v>1189</v>
      </c>
      <c r="D1001" s="70" t="s">
        <v>1094</v>
      </c>
      <c r="E1001" s="103" t="s">
        <v>158</v>
      </c>
      <c r="F1001" s="75">
        <v>7930</v>
      </c>
      <c r="G1001" s="73" t="s">
        <v>98</v>
      </c>
      <c r="H1001" s="71" t="s">
        <v>118</v>
      </c>
      <c r="I1001" s="73"/>
      <c r="J1001" s="75">
        <f>I1001*7930</f>
        <v>0</v>
      </c>
      <c r="K1001" s="74"/>
      <c r="L1001" s="11"/>
    </row>
    <row r="1002" spans="2:12" s="9" customFormat="1" ht="13.5" customHeight="1" x14ac:dyDescent="0.2">
      <c r="B1002" s="10"/>
      <c r="C1002" s="100" t="s">
        <v>1190</v>
      </c>
      <c r="D1002" s="82" t="s">
        <v>1191</v>
      </c>
      <c r="E1002" s="105" t="s">
        <v>299</v>
      </c>
      <c r="F1002" s="87">
        <v>5933</v>
      </c>
      <c r="G1002" s="85" t="s">
        <v>98</v>
      </c>
      <c r="H1002" s="83" t="s">
        <v>118</v>
      </c>
      <c r="I1002" s="85"/>
      <c r="J1002" s="87">
        <f>I1002*5933</f>
        <v>0</v>
      </c>
      <c r="K1002" s="86"/>
      <c r="L1002" s="11"/>
    </row>
    <row r="1003" spans="2:12" s="9" customFormat="1" ht="13.5" customHeight="1" x14ac:dyDescent="0.2">
      <c r="B1003" s="10"/>
      <c r="C1003" s="98" t="s">
        <v>1192</v>
      </c>
      <c r="D1003" s="70" t="s">
        <v>1193</v>
      </c>
      <c r="E1003" s="103" t="s">
        <v>164</v>
      </c>
      <c r="F1003" s="75">
        <v>11200</v>
      </c>
      <c r="G1003" s="73" t="s">
        <v>98</v>
      </c>
      <c r="H1003" s="71" t="s">
        <v>118</v>
      </c>
      <c r="I1003" s="73"/>
      <c r="J1003" s="75">
        <f>I1003*11200</f>
        <v>0</v>
      </c>
      <c r="K1003" s="74"/>
      <c r="L1003" s="11"/>
    </row>
    <row r="1004" spans="2:12" s="9" customFormat="1" ht="13.5" customHeight="1" x14ac:dyDescent="0.2">
      <c r="B1004" s="10"/>
      <c r="C1004" s="98" t="s">
        <v>1194</v>
      </c>
      <c r="D1004" s="70" t="s">
        <v>1193</v>
      </c>
      <c r="E1004" s="103" t="s">
        <v>158</v>
      </c>
      <c r="F1004" s="75">
        <v>14240</v>
      </c>
      <c r="G1004" s="73" t="s">
        <v>98</v>
      </c>
      <c r="H1004" s="71" t="s">
        <v>118</v>
      </c>
      <c r="I1004" s="73"/>
      <c r="J1004" s="75">
        <f>I1004*14240</f>
        <v>0</v>
      </c>
      <c r="K1004" s="74"/>
      <c r="L1004" s="11"/>
    </row>
    <row r="1005" spans="2:12" s="9" customFormat="1" ht="13.5" customHeight="1" x14ac:dyDescent="0.2">
      <c r="B1005" s="10"/>
      <c r="C1005" s="98" t="s">
        <v>1195</v>
      </c>
      <c r="D1005" s="70" t="s">
        <v>1193</v>
      </c>
      <c r="E1005" s="103" t="s">
        <v>109</v>
      </c>
      <c r="F1005" s="75">
        <v>17100</v>
      </c>
      <c r="G1005" s="73" t="s">
        <v>98</v>
      </c>
      <c r="H1005" s="71" t="s">
        <v>118</v>
      </c>
      <c r="I1005" s="73"/>
      <c r="J1005" s="75">
        <f>I1005*17100</f>
        <v>0</v>
      </c>
      <c r="K1005" s="74"/>
      <c r="L1005" s="11"/>
    </row>
    <row r="1006" spans="2:12" s="9" customFormat="1" ht="13.5" customHeight="1" x14ac:dyDescent="0.2">
      <c r="B1006" s="10"/>
      <c r="C1006" s="98" t="s">
        <v>1196</v>
      </c>
      <c r="D1006" s="70" t="s">
        <v>1197</v>
      </c>
      <c r="E1006" s="103" t="s">
        <v>109</v>
      </c>
      <c r="F1006" s="75">
        <v>17100</v>
      </c>
      <c r="G1006" s="73" t="s">
        <v>98</v>
      </c>
      <c r="H1006" s="71" t="s">
        <v>118</v>
      </c>
      <c r="I1006" s="73"/>
      <c r="J1006" s="75">
        <f>I1006*17100</f>
        <v>0</v>
      </c>
      <c r="K1006" s="74"/>
      <c r="L1006" s="11"/>
    </row>
    <row r="1007" spans="2:12" s="9" customFormat="1" ht="13.5" customHeight="1" x14ac:dyDescent="0.2">
      <c r="B1007" s="10"/>
      <c r="C1007" s="98" t="s">
        <v>1198</v>
      </c>
      <c r="D1007" s="70" t="s">
        <v>1199</v>
      </c>
      <c r="E1007" s="103" t="s">
        <v>109</v>
      </c>
      <c r="F1007" s="75">
        <v>26300</v>
      </c>
      <c r="G1007" s="73" t="s">
        <v>98</v>
      </c>
      <c r="H1007" s="71" t="s">
        <v>118</v>
      </c>
      <c r="I1007" s="73"/>
      <c r="J1007" s="75">
        <f>I1007*26300</f>
        <v>0</v>
      </c>
      <c r="K1007" s="74"/>
      <c r="L1007" s="11"/>
    </row>
    <row r="1008" spans="2:12" s="9" customFormat="1" ht="13.5" customHeight="1" x14ac:dyDescent="0.2">
      <c r="B1008" s="10"/>
      <c r="C1008" s="98" t="s">
        <v>1200</v>
      </c>
      <c r="D1008" s="70" t="s">
        <v>1201</v>
      </c>
      <c r="E1008" s="103" t="s">
        <v>164</v>
      </c>
      <c r="F1008" s="75">
        <v>16600</v>
      </c>
      <c r="G1008" s="73" t="s">
        <v>98</v>
      </c>
      <c r="H1008" s="71" t="s">
        <v>118</v>
      </c>
      <c r="I1008" s="73"/>
      <c r="J1008" s="75">
        <f>I1008*16600</f>
        <v>0</v>
      </c>
      <c r="K1008" s="74"/>
      <c r="L1008" s="11"/>
    </row>
    <row r="1009" spans="2:12" s="9" customFormat="1" ht="13.5" customHeight="1" x14ac:dyDescent="0.2">
      <c r="B1009" s="10"/>
      <c r="C1009" s="98" t="s">
        <v>1202</v>
      </c>
      <c r="D1009" s="70" t="s">
        <v>1203</v>
      </c>
      <c r="E1009" s="103" t="s">
        <v>164</v>
      </c>
      <c r="F1009" s="75">
        <v>15750</v>
      </c>
      <c r="G1009" s="73" t="s">
        <v>98</v>
      </c>
      <c r="H1009" s="71" t="s">
        <v>118</v>
      </c>
      <c r="I1009" s="73"/>
      <c r="J1009" s="75">
        <f>I1009*15750</f>
        <v>0</v>
      </c>
      <c r="K1009" s="74"/>
      <c r="L1009" s="11"/>
    </row>
    <row r="1010" spans="2:12" s="9" customFormat="1" ht="13.5" customHeight="1" x14ac:dyDescent="0.2">
      <c r="B1010" s="10"/>
      <c r="C1010" s="99" t="s">
        <v>1204</v>
      </c>
      <c r="D1010" s="76" t="s">
        <v>1203</v>
      </c>
      <c r="E1010" s="104" t="s">
        <v>109</v>
      </c>
      <c r="F1010" s="81">
        <v>28000</v>
      </c>
      <c r="G1010" s="79" t="s">
        <v>98</v>
      </c>
      <c r="H1010" s="77" t="s">
        <v>118</v>
      </c>
      <c r="I1010" s="79"/>
      <c r="J1010" s="81">
        <f>I1010*28000</f>
        <v>0</v>
      </c>
      <c r="K1010" s="80"/>
      <c r="L1010" s="11"/>
    </row>
    <row r="1011" spans="2:12" s="9" customFormat="1" ht="13.5" customHeight="1" x14ac:dyDescent="0.2">
      <c r="B1011" s="10"/>
      <c r="C1011" s="98" t="s">
        <v>1205</v>
      </c>
      <c r="D1011" s="70" t="s">
        <v>1206</v>
      </c>
      <c r="E1011" s="103" t="s">
        <v>299</v>
      </c>
      <c r="F1011" s="75">
        <v>12060</v>
      </c>
      <c r="G1011" s="73" t="s">
        <v>98</v>
      </c>
      <c r="H1011" s="71" t="s">
        <v>118</v>
      </c>
      <c r="I1011" s="73"/>
      <c r="J1011" s="75">
        <f>I1011*12060</f>
        <v>0</v>
      </c>
      <c r="K1011" s="74"/>
      <c r="L1011" s="11"/>
    </row>
    <row r="1012" spans="2:12" s="9" customFormat="1" ht="13.5" customHeight="1" x14ac:dyDescent="0.2">
      <c r="B1012" s="10"/>
      <c r="C1012" s="98" t="s">
        <v>1207</v>
      </c>
      <c r="D1012" s="70" t="s">
        <v>1206</v>
      </c>
      <c r="E1012" s="103" t="s">
        <v>299</v>
      </c>
      <c r="F1012" s="75">
        <v>12109</v>
      </c>
      <c r="G1012" s="73" t="s">
        <v>98</v>
      </c>
      <c r="H1012" s="71" t="s">
        <v>118</v>
      </c>
      <c r="I1012" s="73"/>
      <c r="J1012" s="75">
        <f>I1012*12109</f>
        <v>0</v>
      </c>
      <c r="K1012" s="74"/>
      <c r="L1012" s="11"/>
    </row>
    <row r="1013" spans="2:12" s="9" customFormat="1" ht="13.5" customHeight="1" x14ac:dyDescent="0.2">
      <c r="B1013" s="10"/>
      <c r="C1013" s="100" t="s">
        <v>1208</v>
      </c>
      <c r="D1013" s="82" t="s">
        <v>1206</v>
      </c>
      <c r="E1013" s="105" t="s">
        <v>164</v>
      </c>
      <c r="F1013" s="87">
        <v>13300</v>
      </c>
      <c r="G1013" s="85" t="s">
        <v>98</v>
      </c>
      <c r="H1013" s="83" t="s">
        <v>118</v>
      </c>
      <c r="I1013" s="85"/>
      <c r="J1013" s="87">
        <f>I1013*13300</f>
        <v>0</v>
      </c>
      <c r="K1013" s="86"/>
      <c r="L1013" s="11"/>
    </row>
    <row r="1014" spans="2:12" s="9" customFormat="1" ht="13.5" customHeight="1" x14ac:dyDescent="0.2">
      <c r="B1014" s="10"/>
      <c r="C1014" s="98" t="s">
        <v>1209</v>
      </c>
      <c r="D1014" s="70" t="s">
        <v>1206</v>
      </c>
      <c r="E1014" s="103" t="s">
        <v>299</v>
      </c>
      <c r="F1014" s="75">
        <v>13370</v>
      </c>
      <c r="G1014" s="73" t="s">
        <v>98</v>
      </c>
      <c r="H1014" s="71" t="s">
        <v>118</v>
      </c>
      <c r="I1014" s="73"/>
      <c r="J1014" s="75">
        <f>I1014*13370</f>
        <v>0</v>
      </c>
      <c r="K1014" s="74"/>
      <c r="L1014" s="11"/>
    </row>
    <row r="1015" spans="2:12" s="9" customFormat="1" ht="13.5" customHeight="1" x14ac:dyDescent="0.2">
      <c r="B1015" s="10"/>
      <c r="C1015" s="99" t="s">
        <v>1210</v>
      </c>
      <c r="D1015" s="76" t="s">
        <v>1206</v>
      </c>
      <c r="E1015" s="104" t="s">
        <v>164</v>
      </c>
      <c r="F1015" s="81">
        <v>15550</v>
      </c>
      <c r="G1015" s="79" t="s">
        <v>98</v>
      </c>
      <c r="H1015" s="77" t="s">
        <v>118</v>
      </c>
      <c r="I1015" s="79"/>
      <c r="J1015" s="81">
        <f>I1015*15550</f>
        <v>0</v>
      </c>
      <c r="K1015" s="80"/>
      <c r="L1015" s="11"/>
    </row>
    <row r="1016" spans="2:12" s="9" customFormat="1" ht="13.5" customHeight="1" x14ac:dyDescent="0.2">
      <c r="B1016" s="10"/>
      <c r="C1016" s="98" t="s">
        <v>1211</v>
      </c>
      <c r="D1016" s="70" t="s">
        <v>1206</v>
      </c>
      <c r="E1016" s="103" t="s">
        <v>164</v>
      </c>
      <c r="F1016" s="75">
        <v>16750</v>
      </c>
      <c r="G1016" s="73" t="s">
        <v>98</v>
      </c>
      <c r="H1016" s="71" t="s">
        <v>118</v>
      </c>
      <c r="I1016" s="73"/>
      <c r="J1016" s="75">
        <f>I1016*16750</f>
        <v>0</v>
      </c>
      <c r="K1016" s="74"/>
      <c r="L1016" s="11"/>
    </row>
    <row r="1017" spans="2:12" s="9" customFormat="1" ht="13.5" customHeight="1" x14ac:dyDescent="0.2">
      <c r="B1017" s="10"/>
      <c r="C1017" s="98" t="s">
        <v>1212</v>
      </c>
      <c r="D1017" s="70" t="s">
        <v>1206</v>
      </c>
      <c r="E1017" s="103" t="s">
        <v>158</v>
      </c>
      <c r="F1017" s="75">
        <v>17500</v>
      </c>
      <c r="G1017" s="73" t="s">
        <v>98</v>
      </c>
      <c r="H1017" s="71" t="s">
        <v>118</v>
      </c>
      <c r="I1017" s="73"/>
      <c r="J1017" s="75">
        <f>I1017*17500</f>
        <v>0</v>
      </c>
      <c r="K1017" s="74"/>
      <c r="L1017" s="11"/>
    </row>
    <row r="1018" spans="2:12" s="9" customFormat="1" ht="13.5" customHeight="1" x14ac:dyDescent="0.2">
      <c r="B1018" s="10"/>
      <c r="C1018" s="98" t="s">
        <v>1213</v>
      </c>
      <c r="D1018" s="70" t="s">
        <v>1206</v>
      </c>
      <c r="E1018" s="103" t="s">
        <v>164</v>
      </c>
      <c r="F1018" s="75">
        <v>21099</v>
      </c>
      <c r="G1018" s="73" t="s">
        <v>98</v>
      </c>
      <c r="H1018" s="71" t="s">
        <v>118</v>
      </c>
      <c r="I1018" s="73"/>
      <c r="J1018" s="75">
        <f>I1018*21099</f>
        <v>0</v>
      </c>
      <c r="K1018" s="74"/>
      <c r="L1018" s="11"/>
    </row>
    <row r="1019" spans="2:12" s="9" customFormat="1" ht="13.5" customHeight="1" x14ac:dyDescent="0.2">
      <c r="B1019" s="10"/>
      <c r="C1019" s="99" t="s">
        <v>1214</v>
      </c>
      <c r="D1019" s="76" t="s">
        <v>1206</v>
      </c>
      <c r="E1019" s="104" t="s">
        <v>164</v>
      </c>
      <c r="F1019" s="81">
        <v>25700</v>
      </c>
      <c r="G1019" s="79" t="s">
        <v>98</v>
      </c>
      <c r="H1019" s="77" t="s">
        <v>118</v>
      </c>
      <c r="I1019" s="79"/>
      <c r="J1019" s="81">
        <f>I1019*25700</f>
        <v>0</v>
      </c>
      <c r="K1019" s="80"/>
      <c r="L1019" s="11"/>
    </row>
    <row r="1020" spans="2:12" s="9" customFormat="1" ht="13.5" customHeight="1" x14ac:dyDescent="0.2">
      <c r="B1020" s="10"/>
      <c r="C1020" s="98" t="s">
        <v>1215</v>
      </c>
      <c r="D1020" s="70" t="s">
        <v>1216</v>
      </c>
      <c r="E1020" s="103" t="s">
        <v>25</v>
      </c>
      <c r="F1020" s="75">
        <v>20550</v>
      </c>
      <c r="G1020" s="73" t="s">
        <v>98</v>
      </c>
      <c r="H1020" s="71" t="s">
        <v>118</v>
      </c>
      <c r="I1020" s="73"/>
      <c r="J1020" s="75">
        <f>I1020*20550</f>
        <v>0</v>
      </c>
      <c r="K1020" s="74"/>
      <c r="L1020" s="11"/>
    </row>
    <row r="1021" spans="2:12" s="9" customFormat="1" ht="13.5" customHeight="1" x14ac:dyDescent="0.2">
      <c r="B1021" s="10"/>
      <c r="C1021" s="98" t="s">
        <v>1217</v>
      </c>
      <c r="D1021" s="70" t="s">
        <v>1216</v>
      </c>
      <c r="E1021" s="103" t="s">
        <v>25</v>
      </c>
      <c r="F1021" s="75">
        <v>20550</v>
      </c>
      <c r="G1021" s="73" t="s">
        <v>98</v>
      </c>
      <c r="H1021" s="71" t="s">
        <v>118</v>
      </c>
      <c r="I1021" s="73"/>
      <c r="J1021" s="75">
        <f>I1021*20550</f>
        <v>0</v>
      </c>
      <c r="K1021" s="74"/>
      <c r="L1021" s="11"/>
    </row>
    <row r="1022" spans="2:12" s="9" customFormat="1" ht="13.5" customHeight="1" x14ac:dyDescent="0.2">
      <c r="B1022" s="10"/>
      <c r="C1022" s="98" t="s">
        <v>1218</v>
      </c>
      <c r="D1022" s="70" t="s">
        <v>1219</v>
      </c>
      <c r="E1022" s="103" t="s">
        <v>109</v>
      </c>
      <c r="F1022" s="75">
        <v>29900</v>
      </c>
      <c r="G1022" s="73" t="s">
        <v>98</v>
      </c>
      <c r="H1022" s="71" t="s">
        <v>118</v>
      </c>
      <c r="I1022" s="73"/>
      <c r="J1022" s="75">
        <f>I1022*29900</f>
        <v>0</v>
      </c>
      <c r="K1022" s="74"/>
      <c r="L1022" s="11"/>
    </row>
    <row r="1023" spans="2:12" s="9" customFormat="1" ht="13.5" customHeight="1" x14ac:dyDescent="0.2">
      <c r="B1023" s="10"/>
      <c r="C1023" s="99" t="s">
        <v>1220</v>
      </c>
      <c r="D1023" s="76" t="s">
        <v>1221</v>
      </c>
      <c r="E1023" s="104" t="s">
        <v>25</v>
      </c>
      <c r="F1023" s="81">
        <v>37300</v>
      </c>
      <c r="G1023" s="79" t="s">
        <v>98</v>
      </c>
      <c r="H1023" s="77" t="s">
        <v>118</v>
      </c>
      <c r="I1023" s="79"/>
      <c r="J1023" s="81">
        <f>I1023*37300</f>
        <v>0</v>
      </c>
      <c r="K1023" s="80"/>
      <c r="L1023" s="11"/>
    </row>
    <row r="1024" spans="2:12" s="9" customFormat="1" ht="13.5" customHeight="1" x14ac:dyDescent="0.2">
      <c r="B1024" s="10"/>
      <c r="C1024" s="97" t="s">
        <v>1222</v>
      </c>
      <c r="D1024" s="64" t="s">
        <v>1223</v>
      </c>
      <c r="E1024" s="102" t="s">
        <v>109</v>
      </c>
      <c r="F1024" s="69">
        <v>25050</v>
      </c>
      <c r="G1024" s="67" t="s">
        <v>98</v>
      </c>
      <c r="H1024" s="65" t="s">
        <v>118</v>
      </c>
      <c r="I1024" s="67"/>
      <c r="J1024" s="69">
        <f>I1024*25050</f>
        <v>0</v>
      </c>
      <c r="K1024" s="68"/>
      <c r="L1024" s="11"/>
    </row>
    <row r="1025" spans="2:12" s="9" customFormat="1" ht="13.5" customHeight="1" x14ac:dyDescent="0.2">
      <c r="B1025" s="10"/>
      <c r="C1025" s="100" t="s">
        <v>1224</v>
      </c>
      <c r="D1025" s="82" t="s">
        <v>1223</v>
      </c>
      <c r="E1025" s="105" t="s">
        <v>25</v>
      </c>
      <c r="F1025" s="87">
        <v>38870</v>
      </c>
      <c r="G1025" s="85" t="s">
        <v>98</v>
      </c>
      <c r="H1025" s="83" t="s">
        <v>118</v>
      </c>
      <c r="I1025" s="85"/>
      <c r="J1025" s="87">
        <f>I1025*38870</f>
        <v>0</v>
      </c>
      <c r="K1025" s="86"/>
      <c r="L1025" s="11"/>
    </row>
    <row r="1026" spans="2:12" s="9" customFormat="1" ht="13.5" customHeight="1" x14ac:dyDescent="0.2">
      <c r="B1026" s="10"/>
      <c r="C1026" s="98" t="s">
        <v>1225</v>
      </c>
      <c r="D1026" s="70" t="s">
        <v>1223</v>
      </c>
      <c r="E1026" s="103" t="s">
        <v>109</v>
      </c>
      <c r="F1026" s="75">
        <v>50100</v>
      </c>
      <c r="G1026" s="73" t="s">
        <v>98</v>
      </c>
      <c r="H1026" s="71" t="s">
        <v>118</v>
      </c>
      <c r="I1026" s="73"/>
      <c r="J1026" s="75">
        <f>I1026*50100</f>
        <v>0</v>
      </c>
      <c r="K1026" s="74"/>
      <c r="L1026" s="11"/>
    </row>
    <row r="1027" spans="2:12" s="9" customFormat="1" ht="13.5" customHeight="1" x14ac:dyDescent="0.2">
      <c r="B1027" s="10"/>
      <c r="C1027" s="98" t="s">
        <v>1226</v>
      </c>
      <c r="D1027" s="70" t="s">
        <v>1223</v>
      </c>
      <c r="E1027" s="103" t="s">
        <v>109</v>
      </c>
      <c r="F1027" s="75">
        <v>50100</v>
      </c>
      <c r="G1027" s="73" t="s">
        <v>98</v>
      </c>
      <c r="H1027" s="71" t="s">
        <v>118</v>
      </c>
      <c r="I1027" s="73"/>
      <c r="J1027" s="75">
        <f>I1027*50100</f>
        <v>0</v>
      </c>
      <c r="K1027" s="74"/>
      <c r="L1027" s="11"/>
    </row>
    <row r="1028" spans="2:12" s="9" customFormat="1" ht="13.5" customHeight="1" x14ac:dyDescent="0.2">
      <c r="B1028" s="10"/>
      <c r="C1028" s="98" t="s">
        <v>1227</v>
      </c>
      <c r="D1028" s="70" t="s">
        <v>1228</v>
      </c>
      <c r="E1028" s="103" t="s">
        <v>158</v>
      </c>
      <c r="F1028" s="75">
        <v>45650</v>
      </c>
      <c r="G1028" s="73" t="s">
        <v>98</v>
      </c>
      <c r="H1028" s="71" t="s">
        <v>118</v>
      </c>
      <c r="I1028" s="73"/>
      <c r="J1028" s="75">
        <f>I1028*45650</f>
        <v>0</v>
      </c>
      <c r="K1028" s="74"/>
      <c r="L1028" s="11"/>
    </row>
    <row r="1029" spans="2:12" s="9" customFormat="1" ht="13.5" customHeight="1" x14ac:dyDescent="0.2">
      <c r="B1029" s="10"/>
      <c r="C1029" s="97" t="s">
        <v>1229</v>
      </c>
      <c r="D1029" s="64" t="s">
        <v>1230</v>
      </c>
      <c r="E1029" s="102" t="s">
        <v>109</v>
      </c>
      <c r="F1029" s="69">
        <v>37000</v>
      </c>
      <c r="G1029" s="67" t="s">
        <v>98</v>
      </c>
      <c r="H1029" s="65" t="s">
        <v>118</v>
      </c>
      <c r="I1029" s="67"/>
      <c r="J1029" s="69">
        <f>I1029*37000</f>
        <v>0</v>
      </c>
      <c r="K1029" s="68"/>
      <c r="L1029" s="11"/>
    </row>
    <row r="1030" spans="2:12" s="9" customFormat="1" ht="13.5" customHeight="1" x14ac:dyDescent="0.2">
      <c r="B1030" s="10"/>
      <c r="C1030" s="98" t="s">
        <v>1231</v>
      </c>
      <c r="D1030" s="70" t="s">
        <v>1230</v>
      </c>
      <c r="E1030" s="103" t="s">
        <v>109</v>
      </c>
      <c r="F1030" s="75">
        <v>74000</v>
      </c>
      <c r="G1030" s="73" t="s">
        <v>98</v>
      </c>
      <c r="H1030" s="71" t="s">
        <v>118</v>
      </c>
      <c r="I1030" s="73"/>
      <c r="J1030" s="75">
        <f>I1030*74000</f>
        <v>0</v>
      </c>
      <c r="K1030" s="74"/>
      <c r="L1030" s="11"/>
    </row>
    <row r="1031" spans="2:12" s="9" customFormat="1" ht="13.5" customHeight="1" x14ac:dyDescent="0.2">
      <c r="B1031" s="10"/>
      <c r="C1031" s="97" t="s">
        <v>1232</v>
      </c>
      <c r="D1031" s="64" t="s">
        <v>1233</v>
      </c>
      <c r="E1031" s="102" t="s">
        <v>109</v>
      </c>
      <c r="F1031" s="69">
        <v>39750</v>
      </c>
      <c r="G1031" s="67" t="s">
        <v>98</v>
      </c>
      <c r="H1031" s="65" t="s">
        <v>118</v>
      </c>
      <c r="I1031" s="67"/>
      <c r="J1031" s="69">
        <f>I1031*39750</f>
        <v>0</v>
      </c>
      <c r="K1031" s="68"/>
      <c r="L1031" s="11"/>
    </row>
    <row r="1032" spans="2:12" s="9" customFormat="1" ht="13.5" customHeight="1" x14ac:dyDescent="0.2">
      <c r="B1032" s="10"/>
      <c r="C1032" s="98" t="s">
        <v>1234</v>
      </c>
      <c r="D1032" s="70" t="s">
        <v>1233</v>
      </c>
      <c r="E1032" s="103" t="s">
        <v>109</v>
      </c>
      <c r="F1032" s="75">
        <v>79500</v>
      </c>
      <c r="G1032" s="73" t="s">
        <v>98</v>
      </c>
      <c r="H1032" s="71" t="s">
        <v>118</v>
      </c>
      <c r="I1032" s="73"/>
      <c r="J1032" s="75">
        <f>I1032*79500</f>
        <v>0</v>
      </c>
      <c r="K1032" s="74"/>
      <c r="L1032" s="11"/>
    </row>
    <row r="1033" spans="2:12" s="9" customFormat="1" ht="13.5" customHeight="1" x14ac:dyDescent="0.2">
      <c r="B1033" s="10"/>
      <c r="C1033" s="98" t="s">
        <v>1235</v>
      </c>
      <c r="D1033" s="70" t="s">
        <v>1233</v>
      </c>
      <c r="E1033" s="103" t="s">
        <v>109</v>
      </c>
      <c r="F1033" s="75">
        <v>79500</v>
      </c>
      <c r="G1033" s="73" t="s">
        <v>98</v>
      </c>
      <c r="H1033" s="71" t="s">
        <v>118</v>
      </c>
      <c r="I1033" s="73"/>
      <c r="J1033" s="75">
        <f>I1033*79500</f>
        <v>0</v>
      </c>
      <c r="K1033" s="74"/>
      <c r="L1033" s="11"/>
    </row>
    <row r="1034" spans="2:12" s="9" customFormat="1" ht="30" customHeight="1" x14ac:dyDescent="0.3">
      <c r="B1034" s="10"/>
      <c r="C1034" s="88" t="s">
        <v>534</v>
      </c>
      <c r="D1034" s="89"/>
      <c r="E1034" s="106"/>
      <c r="F1034" s="89"/>
      <c r="G1034" s="90"/>
      <c r="H1034" s="89"/>
      <c r="I1034" s="89"/>
      <c r="J1034" s="89"/>
      <c r="K1034" s="91"/>
      <c r="L1034" s="10"/>
    </row>
    <row r="1035" spans="2:12" s="9" customFormat="1" ht="13.5" customHeight="1" x14ac:dyDescent="0.2">
      <c r="B1035" s="10"/>
      <c r="C1035" s="98" t="s">
        <v>1236</v>
      </c>
      <c r="D1035" s="70" t="s">
        <v>1237</v>
      </c>
      <c r="E1035" s="103" t="s">
        <v>109</v>
      </c>
      <c r="F1035" s="75">
        <v>7200</v>
      </c>
      <c r="G1035" s="73" t="s">
        <v>98</v>
      </c>
      <c r="H1035" s="71" t="s">
        <v>118</v>
      </c>
      <c r="I1035" s="73"/>
      <c r="J1035" s="75">
        <f>I1035*7200</f>
        <v>0</v>
      </c>
      <c r="K1035" s="74"/>
      <c r="L1035" s="11"/>
    </row>
    <row r="1036" spans="2:12" s="9" customFormat="1" ht="13.5" customHeight="1" x14ac:dyDescent="0.2">
      <c r="B1036" s="10"/>
      <c r="C1036" s="98" t="s">
        <v>1238</v>
      </c>
      <c r="D1036" s="70" t="s">
        <v>1239</v>
      </c>
      <c r="E1036" s="103" t="s">
        <v>109</v>
      </c>
      <c r="F1036" s="75">
        <v>9500</v>
      </c>
      <c r="G1036" s="73" t="s">
        <v>98</v>
      </c>
      <c r="H1036" s="71" t="s">
        <v>118</v>
      </c>
      <c r="I1036" s="73"/>
      <c r="J1036" s="75">
        <f>I1036*9500</f>
        <v>0</v>
      </c>
      <c r="K1036" s="74"/>
      <c r="L1036" s="11"/>
    </row>
    <row r="1037" spans="2:12" s="9" customFormat="1" ht="13.5" customHeight="1" x14ac:dyDescent="0.2">
      <c r="B1037" s="10"/>
      <c r="C1037" s="98" t="s">
        <v>1240</v>
      </c>
      <c r="D1037" s="70" t="s">
        <v>1241</v>
      </c>
      <c r="E1037" s="103" t="s">
        <v>158</v>
      </c>
      <c r="F1037" s="75">
        <v>11400</v>
      </c>
      <c r="G1037" s="73" t="s">
        <v>98</v>
      </c>
      <c r="H1037" s="71" t="s">
        <v>118</v>
      </c>
      <c r="I1037" s="73"/>
      <c r="J1037" s="75">
        <f>I1037*11400</f>
        <v>0</v>
      </c>
      <c r="K1037" s="74"/>
      <c r="L1037" s="11"/>
    </row>
    <row r="1038" spans="2:12" s="9" customFormat="1" ht="13.5" customHeight="1" x14ac:dyDescent="0.2">
      <c r="B1038" s="10"/>
      <c r="C1038" s="98" t="s">
        <v>1242</v>
      </c>
      <c r="D1038" s="70" t="s">
        <v>1243</v>
      </c>
      <c r="E1038" s="103" t="s">
        <v>158</v>
      </c>
      <c r="F1038" s="75">
        <v>15490</v>
      </c>
      <c r="G1038" s="73" t="s">
        <v>98</v>
      </c>
      <c r="H1038" s="71" t="s">
        <v>118</v>
      </c>
      <c r="I1038" s="73"/>
      <c r="J1038" s="75">
        <f>I1038*15490</f>
        <v>0</v>
      </c>
      <c r="K1038" s="74"/>
      <c r="L1038" s="11"/>
    </row>
    <row r="1039" spans="2:12" s="9" customFormat="1" ht="13.5" customHeight="1" x14ac:dyDescent="0.2">
      <c r="B1039" s="10"/>
      <c r="C1039" s="98" t="s">
        <v>1244</v>
      </c>
      <c r="D1039" s="70" t="s">
        <v>1243</v>
      </c>
      <c r="E1039" s="103" t="s">
        <v>164</v>
      </c>
      <c r="F1039" s="75">
        <v>16300</v>
      </c>
      <c r="G1039" s="73" t="s">
        <v>98</v>
      </c>
      <c r="H1039" s="71" t="s">
        <v>118</v>
      </c>
      <c r="I1039" s="73"/>
      <c r="J1039" s="75">
        <f>I1039*16300</f>
        <v>0</v>
      </c>
      <c r="K1039" s="74"/>
      <c r="L1039" s="11"/>
    </row>
    <row r="1040" spans="2:12" s="9" customFormat="1" ht="13.5" customHeight="1" x14ac:dyDescent="0.2">
      <c r="B1040" s="10"/>
      <c r="C1040" s="98" t="s">
        <v>1245</v>
      </c>
      <c r="D1040" s="70" t="s">
        <v>1246</v>
      </c>
      <c r="E1040" s="103" t="s">
        <v>25</v>
      </c>
      <c r="F1040" s="75">
        <v>35450</v>
      </c>
      <c r="G1040" s="73" t="s">
        <v>98</v>
      </c>
      <c r="H1040" s="71" t="s">
        <v>118</v>
      </c>
      <c r="I1040" s="73"/>
      <c r="J1040" s="75">
        <f>I1040*35450</f>
        <v>0</v>
      </c>
      <c r="K1040" s="74"/>
      <c r="L1040" s="11"/>
    </row>
    <row r="1041" spans="2:12" s="9" customFormat="1" ht="30" customHeight="1" x14ac:dyDescent="0.3">
      <c r="B1041" s="10"/>
      <c r="C1041" s="88" t="s">
        <v>549</v>
      </c>
      <c r="D1041" s="89"/>
      <c r="E1041" s="106"/>
      <c r="F1041" s="89"/>
      <c r="G1041" s="90"/>
      <c r="H1041" s="89"/>
      <c r="I1041" s="89"/>
      <c r="J1041" s="89"/>
      <c r="K1041" s="91"/>
      <c r="L1041" s="10"/>
    </row>
    <row r="1042" spans="2:12" s="9" customFormat="1" ht="13.5" customHeight="1" x14ac:dyDescent="0.2">
      <c r="B1042" s="10"/>
      <c r="C1042" s="98" t="s">
        <v>1247</v>
      </c>
      <c r="D1042" s="70" t="s">
        <v>1248</v>
      </c>
      <c r="E1042" s="103" t="s">
        <v>164</v>
      </c>
      <c r="F1042" s="75">
        <v>15900</v>
      </c>
      <c r="G1042" s="73" t="s">
        <v>98</v>
      </c>
      <c r="H1042" s="71" t="s">
        <v>118</v>
      </c>
      <c r="I1042" s="73"/>
      <c r="J1042" s="75">
        <f>I1042*15900</f>
        <v>0</v>
      </c>
      <c r="K1042" s="74"/>
      <c r="L1042" s="11"/>
    </row>
    <row r="1043" spans="2:12" s="9" customFormat="1" ht="13.5" customHeight="1" x14ac:dyDescent="0.2">
      <c r="B1043" s="10"/>
      <c r="C1043" s="98" t="s">
        <v>1249</v>
      </c>
      <c r="D1043" s="70" t="s">
        <v>1250</v>
      </c>
      <c r="E1043" s="103" t="s">
        <v>164</v>
      </c>
      <c r="F1043" s="75">
        <v>17100</v>
      </c>
      <c r="G1043" s="73" t="s">
        <v>98</v>
      </c>
      <c r="H1043" s="71" t="s">
        <v>118</v>
      </c>
      <c r="I1043" s="73"/>
      <c r="J1043" s="75">
        <f>I1043*17100</f>
        <v>0</v>
      </c>
      <c r="K1043" s="74"/>
      <c r="L1043" s="11"/>
    </row>
    <row r="1044" spans="2:12" s="9" customFormat="1" ht="13.5" customHeight="1" x14ac:dyDescent="0.2">
      <c r="B1044" s="10"/>
      <c r="C1044" s="98" t="s">
        <v>1251</v>
      </c>
      <c r="D1044" s="70" t="s">
        <v>1252</v>
      </c>
      <c r="E1044" s="103" t="s">
        <v>164</v>
      </c>
      <c r="F1044" s="75">
        <v>29700</v>
      </c>
      <c r="G1044" s="73" t="s">
        <v>98</v>
      </c>
      <c r="H1044" s="71" t="s">
        <v>118</v>
      </c>
      <c r="I1044" s="73"/>
      <c r="J1044" s="75">
        <f>I1044*29700</f>
        <v>0</v>
      </c>
      <c r="K1044" s="74"/>
      <c r="L1044" s="11"/>
    </row>
    <row r="1045" spans="2:12" s="9" customFormat="1" ht="30" customHeight="1" x14ac:dyDescent="0.3">
      <c r="B1045" s="10"/>
      <c r="C1045" s="88" t="s">
        <v>552</v>
      </c>
      <c r="D1045" s="89"/>
      <c r="E1045" s="106"/>
      <c r="F1045" s="89"/>
      <c r="G1045" s="90"/>
      <c r="H1045" s="89"/>
      <c r="I1045" s="89"/>
      <c r="J1045" s="89"/>
      <c r="K1045" s="91"/>
      <c r="L1045" s="10"/>
    </row>
    <row r="1046" spans="2:12" s="9" customFormat="1" ht="13.5" customHeight="1" x14ac:dyDescent="0.2">
      <c r="B1046" s="10"/>
      <c r="C1046" s="98" t="s">
        <v>1253</v>
      </c>
      <c r="D1046" s="70" t="s">
        <v>1254</v>
      </c>
      <c r="E1046" s="103" t="s">
        <v>299</v>
      </c>
      <c r="F1046" s="75">
        <v>6462</v>
      </c>
      <c r="G1046" s="73" t="s">
        <v>98</v>
      </c>
      <c r="H1046" s="71" t="s">
        <v>118</v>
      </c>
      <c r="I1046" s="73"/>
      <c r="J1046" s="75">
        <f>I1046*6462</f>
        <v>0</v>
      </c>
      <c r="K1046" s="74"/>
      <c r="L1046" s="11"/>
    </row>
    <row r="1047" spans="2:12" s="9" customFormat="1" ht="13.5" customHeight="1" x14ac:dyDescent="0.2">
      <c r="B1047" s="10"/>
      <c r="C1047" s="98" t="s">
        <v>1255</v>
      </c>
      <c r="D1047" s="70" t="s">
        <v>1254</v>
      </c>
      <c r="E1047" s="103" t="s">
        <v>109</v>
      </c>
      <c r="F1047" s="75">
        <v>10990</v>
      </c>
      <c r="G1047" s="73" t="s">
        <v>98</v>
      </c>
      <c r="H1047" s="71" t="s">
        <v>118</v>
      </c>
      <c r="I1047" s="73"/>
      <c r="J1047" s="75">
        <f>I1047*10990</f>
        <v>0</v>
      </c>
      <c r="K1047" s="74"/>
      <c r="L1047" s="11"/>
    </row>
    <row r="1048" spans="2:12" s="9" customFormat="1" ht="13.5" customHeight="1" x14ac:dyDescent="0.2">
      <c r="B1048" s="10"/>
      <c r="C1048" s="98" t="s">
        <v>1256</v>
      </c>
      <c r="D1048" s="70" t="s">
        <v>1254</v>
      </c>
      <c r="E1048" s="103" t="s">
        <v>164</v>
      </c>
      <c r="F1048" s="75">
        <v>14250</v>
      </c>
      <c r="G1048" s="73" t="s">
        <v>98</v>
      </c>
      <c r="H1048" s="71" t="s">
        <v>118</v>
      </c>
      <c r="I1048" s="73"/>
      <c r="J1048" s="75">
        <f>I1048*14250</f>
        <v>0</v>
      </c>
      <c r="K1048" s="74"/>
      <c r="L1048" s="11"/>
    </row>
    <row r="1049" spans="2:12" s="9" customFormat="1" ht="13.5" customHeight="1" x14ac:dyDescent="0.2">
      <c r="B1049" s="10"/>
      <c r="C1049" s="98" t="s">
        <v>1257</v>
      </c>
      <c r="D1049" s="70" t="s">
        <v>1258</v>
      </c>
      <c r="E1049" s="103" t="s">
        <v>109</v>
      </c>
      <c r="F1049" s="75">
        <v>14100</v>
      </c>
      <c r="G1049" s="73" t="s">
        <v>98</v>
      </c>
      <c r="H1049" s="71" t="s">
        <v>118</v>
      </c>
      <c r="I1049" s="73"/>
      <c r="J1049" s="75">
        <f>I1049*14100</f>
        <v>0</v>
      </c>
      <c r="K1049" s="74"/>
      <c r="L1049" s="11"/>
    </row>
    <row r="1050" spans="2:12" s="9" customFormat="1" ht="13.5" customHeight="1" x14ac:dyDescent="0.2">
      <c r="B1050" s="10"/>
      <c r="C1050" s="98" t="s">
        <v>1259</v>
      </c>
      <c r="D1050" s="70" t="s">
        <v>1258</v>
      </c>
      <c r="E1050" s="103" t="s">
        <v>164</v>
      </c>
      <c r="F1050" s="75">
        <v>16300</v>
      </c>
      <c r="G1050" s="73" t="s">
        <v>98</v>
      </c>
      <c r="H1050" s="71" t="s">
        <v>118</v>
      </c>
      <c r="I1050" s="73"/>
      <c r="J1050" s="75">
        <f>I1050*16300</f>
        <v>0</v>
      </c>
      <c r="K1050" s="74"/>
      <c r="L1050" s="11"/>
    </row>
    <row r="1051" spans="2:12" s="9" customFormat="1" ht="13.5" customHeight="1" x14ac:dyDescent="0.2">
      <c r="B1051" s="10"/>
      <c r="C1051" s="100" t="s">
        <v>1260</v>
      </c>
      <c r="D1051" s="82" t="s">
        <v>1261</v>
      </c>
      <c r="E1051" s="105" t="s">
        <v>413</v>
      </c>
      <c r="F1051" s="87">
        <v>11834</v>
      </c>
      <c r="G1051" s="85" t="s">
        <v>98</v>
      </c>
      <c r="H1051" s="83" t="s">
        <v>118</v>
      </c>
      <c r="I1051" s="85"/>
      <c r="J1051" s="87">
        <f>I1051*11834</f>
        <v>0</v>
      </c>
      <c r="K1051" s="86"/>
      <c r="L1051" s="11"/>
    </row>
    <row r="1052" spans="2:12" s="9" customFormat="1" ht="13.5" customHeight="1" x14ac:dyDescent="0.2">
      <c r="B1052" s="10"/>
      <c r="C1052" s="98" t="s">
        <v>1262</v>
      </c>
      <c r="D1052" s="70" t="s">
        <v>1261</v>
      </c>
      <c r="E1052" s="103" t="s">
        <v>164</v>
      </c>
      <c r="F1052" s="75">
        <v>22900</v>
      </c>
      <c r="G1052" s="73" t="s">
        <v>98</v>
      </c>
      <c r="H1052" s="71" t="s">
        <v>118</v>
      </c>
      <c r="I1052" s="73"/>
      <c r="J1052" s="75">
        <f>I1052*22900</f>
        <v>0</v>
      </c>
      <c r="K1052" s="74"/>
      <c r="L1052" s="11"/>
    </row>
    <row r="1053" spans="2:12" s="9" customFormat="1" ht="13.5" customHeight="1" x14ac:dyDescent="0.2">
      <c r="B1053" s="10"/>
      <c r="C1053" s="98" t="s">
        <v>1263</v>
      </c>
      <c r="D1053" s="70" t="s">
        <v>1264</v>
      </c>
      <c r="E1053" s="103" t="s">
        <v>164</v>
      </c>
      <c r="F1053" s="75">
        <v>31300</v>
      </c>
      <c r="G1053" s="73" t="s">
        <v>98</v>
      </c>
      <c r="H1053" s="71" t="s">
        <v>118</v>
      </c>
      <c r="I1053" s="73"/>
      <c r="J1053" s="75">
        <f>I1053*31300</f>
        <v>0</v>
      </c>
      <c r="K1053" s="74"/>
      <c r="L1053" s="11"/>
    </row>
    <row r="1054" spans="2:12" s="9" customFormat="1" ht="13.5" customHeight="1" x14ac:dyDescent="0.2">
      <c r="B1054" s="10"/>
      <c r="C1054" s="98" t="s">
        <v>1265</v>
      </c>
      <c r="D1054" s="70" t="s">
        <v>1266</v>
      </c>
      <c r="E1054" s="103" t="s">
        <v>109</v>
      </c>
      <c r="F1054" s="75">
        <v>34900</v>
      </c>
      <c r="G1054" s="73" t="s">
        <v>98</v>
      </c>
      <c r="H1054" s="71" t="s">
        <v>118</v>
      </c>
      <c r="I1054" s="73"/>
      <c r="J1054" s="75">
        <f>I1054*34900</f>
        <v>0</v>
      </c>
      <c r="K1054" s="74"/>
      <c r="L1054" s="11"/>
    </row>
    <row r="1055" spans="2:12" s="9" customFormat="1" ht="30" customHeight="1" x14ac:dyDescent="0.3">
      <c r="B1055" s="10"/>
      <c r="C1055" s="88" t="s">
        <v>1267</v>
      </c>
      <c r="D1055" s="89"/>
      <c r="E1055" s="106"/>
      <c r="F1055" s="89"/>
      <c r="G1055" s="90"/>
      <c r="H1055" s="89"/>
      <c r="I1055" s="89"/>
      <c r="J1055" s="89"/>
      <c r="K1055" s="91"/>
      <c r="L1055" s="10"/>
    </row>
    <row r="1056" spans="2:12" s="9" customFormat="1" ht="13.5" customHeight="1" x14ac:dyDescent="0.2">
      <c r="B1056" s="10"/>
      <c r="C1056" s="98" t="s">
        <v>1268</v>
      </c>
      <c r="D1056" s="70" t="s">
        <v>1269</v>
      </c>
      <c r="E1056" s="103" t="s">
        <v>164</v>
      </c>
      <c r="F1056" s="75">
        <v>24990</v>
      </c>
      <c r="G1056" s="73" t="s">
        <v>98</v>
      </c>
      <c r="H1056" s="71" t="s">
        <v>118</v>
      </c>
      <c r="I1056" s="73"/>
      <c r="J1056" s="75">
        <f>I1056*24990</f>
        <v>0</v>
      </c>
      <c r="K1056" s="74"/>
      <c r="L1056" s="11"/>
    </row>
    <row r="1057" spans="2:12" s="9" customFormat="1" ht="13.5" customHeight="1" x14ac:dyDescent="0.2">
      <c r="B1057" s="10"/>
      <c r="C1057" s="98" t="s">
        <v>1270</v>
      </c>
      <c r="D1057" s="70" t="s">
        <v>1271</v>
      </c>
      <c r="E1057" s="103" t="s">
        <v>109</v>
      </c>
      <c r="F1057" s="75">
        <v>26250</v>
      </c>
      <c r="G1057" s="73" t="s">
        <v>98</v>
      </c>
      <c r="H1057" s="71" t="s">
        <v>118</v>
      </c>
      <c r="I1057" s="73"/>
      <c r="J1057" s="75">
        <f>I1057*26250</f>
        <v>0</v>
      </c>
      <c r="K1057" s="74"/>
      <c r="L1057" s="11"/>
    </row>
    <row r="1058" spans="2:12" s="9" customFormat="1" ht="13.5" customHeight="1" x14ac:dyDescent="0.2">
      <c r="B1058" s="10"/>
      <c r="C1058" s="98" t="s">
        <v>1272</v>
      </c>
      <c r="D1058" s="70" t="s">
        <v>1273</v>
      </c>
      <c r="E1058" s="103" t="s">
        <v>109</v>
      </c>
      <c r="F1058" s="75">
        <v>33600</v>
      </c>
      <c r="G1058" s="73" t="s">
        <v>98</v>
      </c>
      <c r="H1058" s="71" t="s">
        <v>118</v>
      </c>
      <c r="I1058" s="73"/>
      <c r="J1058" s="75">
        <f>I1058*33600</f>
        <v>0</v>
      </c>
      <c r="K1058" s="74"/>
      <c r="L1058" s="11"/>
    </row>
    <row r="1059" spans="2:12" s="9" customFormat="1" ht="13.5" customHeight="1" x14ac:dyDescent="0.2">
      <c r="B1059" s="10"/>
      <c r="C1059" s="98" t="s">
        <v>1274</v>
      </c>
      <c r="D1059" s="70" t="s">
        <v>1275</v>
      </c>
      <c r="E1059" s="103" t="s">
        <v>109</v>
      </c>
      <c r="F1059" s="75">
        <v>66625</v>
      </c>
      <c r="G1059" s="73" t="s">
        <v>98</v>
      </c>
      <c r="H1059" s="71" t="s">
        <v>118</v>
      </c>
      <c r="I1059" s="73"/>
      <c r="J1059" s="75">
        <f>I1059*66625</f>
        <v>0</v>
      </c>
      <c r="K1059" s="74"/>
      <c r="L1059" s="11"/>
    </row>
    <row r="1060" spans="2:12" s="9" customFormat="1" ht="30" customHeight="1" x14ac:dyDescent="0.3">
      <c r="B1060" s="10"/>
      <c r="C1060" s="88" t="s">
        <v>1276</v>
      </c>
      <c r="D1060" s="89"/>
      <c r="E1060" s="106"/>
      <c r="F1060" s="89"/>
      <c r="G1060" s="90"/>
      <c r="H1060" s="89"/>
      <c r="I1060" s="89"/>
      <c r="J1060" s="89"/>
      <c r="K1060" s="91"/>
      <c r="L1060" s="10"/>
    </row>
    <row r="1061" spans="2:12" s="9" customFormat="1" ht="13.5" customHeight="1" x14ac:dyDescent="0.2">
      <c r="B1061" s="10"/>
      <c r="C1061" s="98" t="s">
        <v>1277</v>
      </c>
      <c r="D1061" s="70" t="s">
        <v>1278</v>
      </c>
      <c r="E1061" s="103" t="s">
        <v>164</v>
      </c>
      <c r="F1061" s="75">
        <v>21100</v>
      </c>
      <c r="G1061" s="73" t="s">
        <v>98</v>
      </c>
      <c r="H1061" s="71" t="s">
        <v>118</v>
      </c>
      <c r="I1061" s="73"/>
      <c r="J1061" s="75">
        <f>I1061*21100</f>
        <v>0</v>
      </c>
      <c r="K1061" s="74"/>
      <c r="L1061" s="11"/>
    </row>
    <row r="1062" spans="2:12" s="9" customFormat="1" ht="30" customHeight="1" x14ac:dyDescent="0.3">
      <c r="B1062" s="10"/>
      <c r="C1062" s="88" t="s">
        <v>1097</v>
      </c>
      <c r="D1062" s="89"/>
      <c r="E1062" s="106"/>
      <c r="F1062" s="89"/>
      <c r="G1062" s="90"/>
      <c r="H1062" s="89"/>
      <c r="I1062" s="89"/>
      <c r="J1062" s="89"/>
      <c r="K1062" s="91"/>
      <c r="L1062" s="10"/>
    </row>
    <row r="1063" spans="2:12" s="9" customFormat="1" ht="13.5" customHeight="1" x14ac:dyDescent="0.2">
      <c r="B1063" s="10"/>
      <c r="C1063" s="98" t="s">
        <v>1279</v>
      </c>
      <c r="D1063" s="70" t="s">
        <v>1280</v>
      </c>
      <c r="E1063" s="103" t="s">
        <v>164</v>
      </c>
      <c r="F1063" s="75">
        <v>7775</v>
      </c>
      <c r="G1063" s="73" t="s">
        <v>98</v>
      </c>
      <c r="H1063" s="71" t="s">
        <v>118</v>
      </c>
      <c r="I1063" s="73"/>
      <c r="J1063" s="75">
        <f>I1063*7775</f>
        <v>0</v>
      </c>
      <c r="K1063" s="74"/>
      <c r="L1063" s="11"/>
    </row>
    <row r="1064" spans="2:12" s="9" customFormat="1" ht="13.5" customHeight="1" x14ac:dyDescent="0.2">
      <c r="B1064" s="10"/>
      <c r="C1064" s="98" t="s">
        <v>1281</v>
      </c>
      <c r="D1064" s="70" t="s">
        <v>1280</v>
      </c>
      <c r="E1064" s="103" t="s">
        <v>164</v>
      </c>
      <c r="F1064" s="75">
        <v>15500</v>
      </c>
      <c r="G1064" s="73" t="s">
        <v>98</v>
      </c>
      <c r="H1064" s="71" t="s">
        <v>118</v>
      </c>
      <c r="I1064" s="73"/>
      <c r="J1064" s="75">
        <f>I1064*15500</f>
        <v>0</v>
      </c>
      <c r="K1064" s="74"/>
      <c r="L1064" s="11"/>
    </row>
    <row r="1065" spans="2:12" s="9" customFormat="1" ht="13.5" customHeight="1" x14ac:dyDescent="0.2">
      <c r="B1065" s="10"/>
      <c r="C1065" s="98" t="s">
        <v>1282</v>
      </c>
      <c r="D1065" s="70" t="s">
        <v>1283</v>
      </c>
      <c r="E1065" s="103" t="s">
        <v>158</v>
      </c>
      <c r="F1065" s="75">
        <v>7900</v>
      </c>
      <c r="G1065" s="73" t="s">
        <v>98</v>
      </c>
      <c r="H1065" s="71" t="s">
        <v>118</v>
      </c>
      <c r="I1065" s="73"/>
      <c r="J1065" s="75">
        <f>I1065*7900</f>
        <v>0</v>
      </c>
      <c r="K1065" s="74"/>
      <c r="L1065" s="11"/>
    </row>
    <row r="1066" spans="2:12" s="9" customFormat="1" ht="13.5" customHeight="1" x14ac:dyDescent="0.2">
      <c r="B1066" s="10"/>
      <c r="C1066" s="98" t="s">
        <v>1284</v>
      </c>
      <c r="D1066" s="70" t="s">
        <v>1285</v>
      </c>
      <c r="E1066" s="103" t="s">
        <v>158</v>
      </c>
      <c r="F1066" s="75">
        <v>6600</v>
      </c>
      <c r="G1066" s="73" t="s">
        <v>98</v>
      </c>
      <c r="H1066" s="71" t="s">
        <v>118</v>
      </c>
      <c r="I1066" s="73"/>
      <c r="J1066" s="75">
        <f>I1066*6600</f>
        <v>0</v>
      </c>
      <c r="K1066" s="74"/>
      <c r="L1066" s="11"/>
    </row>
    <row r="1067" spans="2:12" s="9" customFormat="1" ht="13.5" customHeight="1" x14ac:dyDescent="0.2">
      <c r="B1067" s="10"/>
      <c r="C1067" s="98" t="s">
        <v>1286</v>
      </c>
      <c r="D1067" s="70" t="s">
        <v>1287</v>
      </c>
      <c r="E1067" s="103" t="s">
        <v>158</v>
      </c>
      <c r="F1067" s="75">
        <v>15800</v>
      </c>
      <c r="G1067" s="73" t="s">
        <v>98</v>
      </c>
      <c r="H1067" s="71" t="s">
        <v>118</v>
      </c>
      <c r="I1067" s="73"/>
      <c r="J1067" s="75">
        <f>I1067*15800</f>
        <v>0</v>
      </c>
      <c r="K1067" s="74"/>
      <c r="L1067" s="11"/>
    </row>
    <row r="1068" spans="2:12" s="9" customFormat="1" ht="13.5" customHeight="1" x14ac:dyDescent="0.2">
      <c r="B1068" s="10"/>
      <c r="C1068" s="98" t="s">
        <v>1288</v>
      </c>
      <c r="D1068" s="70" t="s">
        <v>1289</v>
      </c>
      <c r="E1068" s="103" t="s">
        <v>25</v>
      </c>
      <c r="F1068" s="75">
        <v>12012</v>
      </c>
      <c r="G1068" s="73" t="s">
        <v>98</v>
      </c>
      <c r="H1068" s="71" t="s">
        <v>118</v>
      </c>
      <c r="I1068" s="73"/>
      <c r="J1068" s="75">
        <f>I1068*12012</f>
        <v>0</v>
      </c>
      <c r="K1068" s="74"/>
      <c r="L1068" s="11"/>
    </row>
    <row r="1069" spans="2:12" s="9" customFormat="1" ht="13.5" customHeight="1" x14ac:dyDescent="0.2">
      <c r="B1069" s="10"/>
      <c r="C1069" s="98" t="s">
        <v>1290</v>
      </c>
      <c r="D1069" s="70" t="s">
        <v>1291</v>
      </c>
      <c r="E1069" s="103" t="s">
        <v>21</v>
      </c>
      <c r="F1069" s="75">
        <v>10006</v>
      </c>
      <c r="G1069" s="73" t="s">
        <v>98</v>
      </c>
      <c r="H1069" s="71" t="s">
        <v>118</v>
      </c>
      <c r="I1069" s="73"/>
      <c r="J1069" s="75">
        <f>I1069*10006</f>
        <v>0</v>
      </c>
      <c r="K1069" s="74"/>
      <c r="L1069" s="11"/>
    </row>
    <row r="1070" spans="2:12" s="9" customFormat="1" ht="13.5" customHeight="1" x14ac:dyDescent="0.2">
      <c r="B1070" s="10"/>
      <c r="C1070" s="98" t="s">
        <v>1292</v>
      </c>
      <c r="D1070" s="70" t="s">
        <v>1293</v>
      </c>
      <c r="E1070" s="103" t="s">
        <v>158</v>
      </c>
      <c r="F1070" s="75">
        <v>12190</v>
      </c>
      <c r="G1070" s="73" t="s">
        <v>98</v>
      </c>
      <c r="H1070" s="71" t="s">
        <v>118</v>
      </c>
      <c r="I1070" s="73"/>
      <c r="J1070" s="75">
        <f>I1070*12190</f>
        <v>0</v>
      </c>
      <c r="K1070" s="74"/>
      <c r="L1070" s="11"/>
    </row>
    <row r="1071" spans="2:12" s="9" customFormat="1" ht="13.5" customHeight="1" x14ac:dyDescent="0.2">
      <c r="B1071" s="10"/>
      <c r="C1071" s="98" t="s">
        <v>1294</v>
      </c>
      <c r="D1071" s="70" t="s">
        <v>1295</v>
      </c>
      <c r="E1071" s="103" t="s">
        <v>164</v>
      </c>
      <c r="F1071" s="75">
        <v>15850</v>
      </c>
      <c r="G1071" s="73" t="s">
        <v>98</v>
      </c>
      <c r="H1071" s="71" t="s">
        <v>118</v>
      </c>
      <c r="I1071" s="73"/>
      <c r="J1071" s="75">
        <f>I1071*15850</f>
        <v>0</v>
      </c>
      <c r="K1071" s="74"/>
      <c r="L1071" s="11"/>
    </row>
    <row r="1072" spans="2:12" s="9" customFormat="1" ht="13.5" customHeight="1" x14ac:dyDescent="0.2">
      <c r="B1072" s="10"/>
      <c r="C1072" s="98" t="s">
        <v>1296</v>
      </c>
      <c r="D1072" s="70" t="s">
        <v>1295</v>
      </c>
      <c r="E1072" s="103" t="s">
        <v>158</v>
      </c>
      <c r="F1072" s="75">
        <v>18690</v>
      </c>
      <c r="G1072" s="73" t="s">
        <v>98</v>
      </c>
      <c r="H1072" s="71" t="s">
        <v>118</v>
      </c>
      <c r="I1072" s="73"/>
      <c r="J1072" s="75">
        <f>I1072*18690</f>
        <v>0</v>
      </c>
      <c r="K1072" s="74"/>
      <c r="L1072" s="11"/>
    </row>
    <row r="1073" spans="2:12" s="9" customFormat="1" ht="13.5" customHeight="1" x14ac:dyDescent="0.2">
      <c r="B1073" s="10"/>
      <c r="C1073" s="99" t="s">
        <v>1297</v>
      </c>
      <c r="D1073" s="76" t="s">
        <v>1298</v>
      </c>
      <c r="E1073" s="104" t="s">
        <v>164</v>
      </c>
      <c r="F1073" s="81">
        <v>36900</v>
      </c>
      <c r="G1073" s="79" t="s">
        <v>98</v>
      </c>
      <c r="H1073" s="77" t="s">
        <v>118</v>
      </c>
      <c r="I1073" s="79"/>
      <c r="J1073" s="81">
        <f>I1073*36900</f>
        <v>0</v>
      </c>
      <c r="K1073" s="80"/>
      <c r="L1073" s="11"/>
    </row>
    <row r="1074" spans="2:12" s="9" customFormat="1" ht="13.5" customHeight="1" x14ac:dyDescent="0.2">
      <c r="B1074" s="10"/>
      <c r="C1074" s="98" t="s">
        <v>1299</v>
      </c>
      <c r="D1074" s="70" t="s">
        <v>1300</v>
      </c>
      <c r="E1074" s="103" t="s">
        <v>158</v>
      </c>
      <c r="F1074" s="75">
        <v>18300</v>
      </c>
      <c r="G1074" s="73" t="s">
        <v>98</v>
      </c>
      <c r="H1074" s="71" t="s">
        <v>118</v>
      </c>
      <c r="I1074" s="73"/>
      <c r="J1074" s="75">
        <f>I1074*18300</f>
        <v>0</v>
      </c>
      <c r="K1074" s="74"/>
      <c r="L1074" s="11"/>
    </row>
    <row r="1075" spans="2:12" s="9" customFormat="1" ht="13.5" customHeight="1" x14ac:dyDescent="0.2">
      <c r="B1075" s="10"/>
      <c r="C1075" s="99" t="s">
        <v>1301</v>
      </c>
      <c r="D1075" s="76" t="s">
        <v>1302</v>
      </c>
      <c r="E1075" s="104" t="s">
        <v>25</v>
      </c>
      <c r="F1075" s="81">
        <v>16040</v>
      </c>
      <c r="G1075" s="79" t="s">
        <v>98</v>
      </c>
      <c r="H1075" s="77" t="s">
        <v>118</v>
      </c>
      <c r="I1075" s="79"/>
      <c r="J1075" s="81">
        <f>I1075*16040</f>
        <v>0</v>
      </c>
      <c r="K1075" s="80"/>
      <c r="L1075" s="11"/>
    </row>
    <row r="1076" spans="2:12" s="9" customFormat="1" ht="13.5" customHeight="1" x14ac:dyDescent="0.2">
      <c r="B1076" s="10"/>
      <c r="C1076" s="98" t="s">
        <v>1303</v>
      </c>
      <c r="D1076" s="70" t="s">
        <v>1304</v>
      </c>
      <c r="E1076" s="103" t="s">
        <v>164</v>
      </c>
      <c r="F1076" s="75">
        <v>14060</v>
      </c>
      <c r="G1076" s="73" t="s">
        <v>98</v>
      </c>
      <c r="H1076" s="71" t="s">
        <v>118</v>
      </c>
      <c r="I1076" s="73"/>
      <c r="J1076" s="75">
        <f>I1076*14060</f>
        <v>0</v>
      </c>
      <c r="K1076" s="74"/>
      <c r="L1076" s="11"/>
    </row>
    <row r="1077" spans="2:12" s="9" customFormat="1" ht="13.5" customHeight="1" x14ac:dyDescent="0.2">
      <c r="B1077" s="10"/>
      <c r="C1077" s="98" t="s">
        <v>1305</v>
      </c>
      <c r="D1077" s="70" t="s">
        <v>1306</v>
      </c>
      <c r="E1077" s="103" t="s">
        <v>109</v>
      </c>
      <c r="F1077" s="75">
        <v>23250</v>
      </c>
      <c r="G1077" s="73" t="s">
        <v>98</v>
      </c>
      <c r="H1077" s="71" t="s">
        <v>118</v>
      </c>
      <c r="I1077" s="73"/>
      <c r="J1077" s="75">
        <f>I1077*23250</f>
        <v>0</v>
      </c>
      <c r="K1077" s="74"/>
      <c r="L1077" s="11"/>
    </row>
    <row r="1078" spans="2:12" s="9" customFormat="1" ht="13.5" customHeight="1" x14ac:dyDescent="0.2">
      <c r="B1078" s="10"/>
      <c r="C1078" s="99" t="s">
        <v>1307</v>
      </c>
      <c r="D1078" s="76" t="s">
        <v>1308</v>
      </c>
      <c r="E1078" s="104" t="s">
        <v>158</v>
      </c>
      <c r="F1078" s="81">
        <v>28850</v>
      </c>
      <c r="G1078" s="79" t="s">
        <v>98</v>
      </c>
      <c r="H1078" s="77" t="s">
        <v>118</v>
      </c>
      <c r="I1078" s="79"/>
      <c r="J1078" s="81">
        <f>I1078*28850</f>
        <v>0</v>
      </c>
      <c r="K1078" s="80"/>
      <c r="L1078" s="11"/>
    </row>
    <row r="1079" spans="2:12" s="9" customFormat="1" ht="13.5" customHeight="1" x14ac:dyDescent="0.2">
      <c r="B1079" s="10"/>
      <c r="C1079" s="98" t="s">
        <v>1309</v>
      </c>
      <c r="D1079" s="70" t="s">
        <v>1310</v>
      </c>
      <c r="E1079" s="103" t="s">
        <v>109</v>
      </c>
      <c r="F1079" s="75">
        <v>42800</v>
      </c>
      <c r="G1079" s="73" t="s">
        <v>98</v>
      </c>
      <c r="H1079" s="71" t="s">
        <v>118</v>
      </c>
      <c r="I1079" s="73"/>
      <c r="J1079" s="75">
        <f>I1079*42800</f>
        <v>0</v>
      </c>
      <c r="K1079" s="74"/>
      <c r="L1079" s="11"/>
    </row>
    <row r="1080" spans="2:12" s="9" customFormat="1" ht="13.5" customHeight="1" x14ac:dyDescent="0.2">
      <c r="B1080" s="10"/>
      <c r="C1080" s="98" t="s">
        <v>1311</v>
      </c>
      <c r="D1080" s="70" t="s">
        <v>1312</v>
      </c>
      <c r="E1080" s="103" t="s">
        <v>109</v>
      </c>
      <c r="F1080" s="75">
        <v>22600</v>
      </c>
      <c r="G1080" s="73" t="s">
        <v>98</v>
      </c>
      <c r="H1080" s="71" t="s">
        <v>118</v>
      </c>
      <c r="I1080" s="73"/>
      <c r="J1080" s="75">
        <f>I1080*22600</f>
        <v>0</v>
      </c>
      <c r="K1080" s="74"/>
      <c r="L1080" s="11"/>
    </row>
    <row r="1081" spans="2:12" s="9" customFormat="1" ht="13.5" customHeight="1" x14ac:dyDescent="0.2">
      <c r="B1081" s="10"/>
      <c r="C1081" s="99" t="s">
        <v>1313</v>
      </c>
      <c r="D1081" s="76" t="s">
        <v>1314</v>
      </c>
      <c r="E1081" s="104" t="s">
        <v>164</v>
      </c>
      <c r="F1081" s="81">
        <v>44990</v>
      </c>
      <c r="G1081" s="79" t="s">
        <v>98</v>
      </c>
      <c r="H1081" s="77" t="s">
        <v>118</v>
      </c>
      <c r="I1081" s="79"/>
      <c r="J1081" s="81">
        <f>I1081*44990</f>
        <v>0</v>
      </c>
      <c r="K1081" s="80"/>
      <c r="L1081" s="11"/>
    </row>
    <row r="1082" spans="2:12" s="9" customFormat="1" ht="13.5" customHeight="1" x14ac:dyDescent="0.2">
      <c r="B1082" s="10"/>
      <c r="C1082" s="98" t="s">
        <v>1315</v>
      </c>
      <c r="D1082" s="70" t="s">
        <v>1316</v>
      </c>
      <c r="E1082" s="103" t="s">
        <v>109</v>
      </c>
      <c r="F1082" s="75">
        <v>42300</v>
      </c>
      <c r="G1082" s="73" t="s">
        <v>98</v>
      </c>
      <c r="H1082" s="71" t="s">
        <v>118</v>
      </c>
      <c r="I1082" s="73"/>
      <c r="J1082" s="75">
        <f>I1082*42300</f>
        <v>0</v>
      </c>
      <c r="K1082" s="74"/>
      <c r="L1082" s="11"/>
    </row>
    <row r="1083" spans="2:12" s="9" customFormat="1" ht="13.5" customHeight="1" x14ac:dyDescent="0.2">
      <c r="B1083" s="10"/>
      <c r="C1083" s="98" t="s">
        <v>1317</v>
      </c>
      <c r="D1083" s="70" t="s">
        <v>1318</v>
      </c>
      <c r="E1083" s="103" t="s">
        <v>21</v>
      </c>
      <c r="F1083" s="75">
        <v>31445</v>
      </c>
      <c r="G1083" s="73" t="s">
        <v>98</v>
      </c>
      <c r="H1083" s="71" t="s">
        <v>118</v>
      </c>
      <c r="I1083" s="73"/>
      <c r="J1083" s="75">
        <f>I1083*31445</f>
        <v>0</v>
      </c>
      <c r="K1083" s="74"/>
      <c r="L1083" s="11"/>
    </row>
    <row r="1084" spans="2:12" s="9" customFormat="1" ht="13.5" customHeight="1" x14ac:dyDescent="0.2">
      <c r="B1084" s="10"/>
      <c r="C1084" s="98" t="s">
        <v>1319</v>
      </c>
      <c r="D1084" s="70" t="s">
        <v>1320</v>
      </c>
      <c r="E1084" s="103" t="s">
        <v>164</v>
      </c>
      <c r="F1084" s="75">
        <v>45800</v>
      </c>
      <c r="G1084" s="73" t="s">
        <v>98</v>
      </c>
      <c r="H1084" s="71" t="s">
        <v>118</v>
      </c>
      <c r="I1084" s="73"/>
      <c r="J1084" s="75">
        <f>I1084*45800</f>
        <v>0</v>
      </c>
      <c r="K1084" s="74"/>
      <c r="L1084" s="11"/>
    </row>
    <row r="1085" spans="2:12" s="9" customFormat="1" ht="13.5" customHeight="1" x14ac:dyDescent="0.2">
      <c r="B1085" s="10"/>
      <c r="C1085" s="98" t="s">
        <v>1321</v>
      </c>
      <c r="D1085" s="70" t="s">
        <v>1322</v>
      </c>
      <c r="E1085" s="103" t="s">
        <v>109</v>
      </c>
      <c r="F1085" s="75">
        <v>50400</v>
      </c>
      <c r="G1085" s="73" t="s">
        <v>98</v>
      </c>
      <c r="H1085" s="71" t="s">
        <v>118</v>
      </c>
      <c r="I1085" s="73"/>
      <c r="J1085" s="75">
        <f>I1085*50400</f>
        <v>0</v>
      </c>
      <c r="K1085" s="74"/>
      <c r="L1085" s="11"/>
    </row>
    <row r="1086" spans="2:12" s="9" customFormat="1" ht="13.5" customHeight="1" x14ac:dyDescent="0.2">
      <c r="B1086" s="10"/>
      <c r="C1086" s="99" t="s">
        <v>1323</v>
      </c>
      <c r="D1086" s="76" t="s">
        <v>1324</v>
      </c>
      <c r="E1086" s="104" t="s">
        <v>109</v>
      </c>
      <c r="F1086" s="81">
        <v>70800</v>
      </c>
      <c r="G1086" s="79" t="s">
        <v>98</v>
      </c>
      <c r="H1086" s="77" t="s">
        <v>118</v>
      </c>
      <c r="I1086" s="79"/>
      <c r="J1086" s="81">
        <f>I1086*70800</f>
        <v>0</v>
      </c>
      <c r="K1086" s="80"/>
      <c r="L1086" s="11"/>
    </row>
    <row r="1087" spans="2:12" s="9" customFormat="1" ht="13.5" customHeight="1" x14ac:dyDescent="0.2">
      <c r="B1087" s="10"/>
      <c r="C1087" s="99" t="s">
        <v>1325</v>
      </c>
      <c r="D1087" s="76" t="s">
        <v>1324</v>
      </c>
      <c r="E1087" s="104" t="s">
        <v>109</v>
      </c>
      <c r="F1087" s="81">
        <v>70800</v>
      </c>
      <c r="G1087" s="79" t="s">
        <v>98</v>
      </c>
      <c r="H1087" s="77" t="s">
        <v>118</v>
      </c>
      <c r="I1087" s="79"/>
      <c r="J1087" s="81">
        <f>I1087*70800</f>
        <v>0</v>
      </c>
      <c r="K1087" s="80"/>
      <c r="L1087" s="11"/>
    </row>
    <row r="1088" spans="2:12" s="9" customFormat="1" ht="13.5" customHeight="1" x14ac:dyDescent="0.2">
      <c r="B1088" s="10"/>
      <c r="C1088" s="98" t="s">
        <v>1326</v>
      </c>
      <c r="D1088" s="70" t="s">
        <v>1327</v>
      </c>
      <c r="E1088" s="103" t="s">
        <v>164</v>
      </c>
      <c r="F1088" s="75">
        <v>73200</v>
      </c>
      <c r="G1088" s="73" t="s">
        <v>98</v>
      </c>
      <c r="H1088" s="71" t="s">
        <v>118</v>
      </c>
      <c r="I1088" s="73"/>
      <c r="J1088" s="75">
        <f>I1088*73200</f>
        <v>0</v>
      </c>
      <c r="K1088" s="74"/>
      <c r="L1088" s="11"/>
    </row>
    <row r="1089" spans="2:12" s="9" customFormat="1" ht="13.5" customHeight="1" x14ac:dyDescent="0.2">
      <c r="B1089" s="10"/>
      <c r="C1089" s="98" t="s">
        <v>1328</v>
      </c>
      <c r="D1089" s="70" t="s">
        <v>1329</v>
      </c>
      <c r="E1089" s="103" t="s">
        <v>109</v>
      </c>
      <c r="F1089" s="75">
        <v>53600</v>
      </c>
      <c r="G1089" s="73" t="s">
        <v>98</v>
      </c>
      <c r="H1089" s="71" t="s">
        <v>118</v>
      </c>
      <c r="I1089" s="73"/>
      <c r="J1089" s="75">
        <f>I1089*53600</f>
        <v>0</v>
      </c>
      <c r="K1089" s="74"/>
      <c r="L1089" s="11"/>
    </row>
    <row r="1090" spans="2:12" s="9" customFormat="1" ht="13.5" customHeight="1" x14ac:dyDescent="0.2">
      <c r="B1090" s="10"/>
      <c r="C1090" s="98" t="s">
        <v>1330</v>
      </c>
      <c r="D1090" s="70" t="s">
        <v>1331</v>
      </c>
      <c r="E1090" s="103" t="s">
        <v>109</v>
      </c>
      <c r="F1090" s="75">
        <v>46700</v>
      </c>
      <c r="G1090" s="73" t="s">
        <v>98</v>
      </c>
      <c r="H1090" s="71" t="s">
        <v>118</v>
      </c>
      <c r="I1090" s="73"/>
      <c r="J1090" s="75">
        <f>I1090*46700</f>
        <v>0</v>
      </c>
      <c r="K1090" s="74"/>
      <c r="L1090" s="11"/>
    </row>
    <row r="1091" spans="2:12" s="9" customFormat="1" ht="13.5" customHeight="1" x14ac:dyDescent="0.2">
      <c r="B1091" s="10"/>
      <c r="C1091" s="98" t="s">
        <v>1332</v>
      </c>
      <c r="D1091" s="70" t="s">
        <v>1333</v>
      </c>
      <c r="E1091" s="103" t="s">
        <v>164</v>
      </c>
      <c r="F1091" s="75">
        <v>85100</v>
      </c>
      <c r="G1091" s="73" t="s">
        <v>98</v>
      </c>
      <c r="H1091" s="71" t="s">
        <v>118</v>
      </c>
      <c r="I1091" s="73"/>
      <c r="J1091" s="75">
        <f>I1091*85100</f>
        <v>0</v>
      </c>
      <c r="K1091" s="74"/>
      <c r="L1091" s="11"/>
    </row>
    <row r="1092" spans="2:12" s="9" customFormat="1" ht="13.5" customHeight="1" x14ac:dyDescent="0.2">
      <c r="B1092" s="10"/>
      <c r="C1092" s="98" t="s">
        <v>1334</v>
      </c>
      <c r="D1092" s="70" t="s">
        <v>1335</v>
      </c>
      <c r="E1092" s="103" t="s">
        <v>109</v>
      </c>
      <c r="F1092" s="75">
        <v>71700</v>
      </c>
      <c r="G1092" s="73" t="s">
        <v>98</v>
      </c>
      <c r="H1092" s="71" t="s">
        <v>118</v>
      </c>
      <c r="I1092" s="73"/>
      <c r="J1092" s="75">
        <f>I1092*71700</f>
        <v>0</v>
      </c>
      <c r="K1092" s="74"/>
      <c r="L1092" s="11"/>
    </row>
    <row r="1093" spans="2:12" s="9" customFormat="1" ht="13.5" customHeight="1" x14ac:dyDescent="0.2">
      <c r="B1093" s="10"/>
      <c r="C1093" s="98" t="s">
        <v>1336</v>
      </c>
      <c r="D1093" s="70" t="s">
        <v>1337</v>
      </c>
      <c r="E1093" s="103" t="s">
        <v>21</v>
      </c>
      <c r="F1093" s="75">
        <v>54150</v>
      </c>
      <c r="G1093" s="73" t="s">
        <v>98</v>
      </c>
      <c r="H1093" s="71" t="s">
        <v>118</v>
      </c>
      <c r="I1093" s="73"/>
      <c r="J1093" s="75">
        <f>I1093*54150</f>
        <v>0</v>
      </c>
      <c r="K1093" s="74"/>
      <c r="L1093" s="11"/>
    </row>
    <row r="1094" spans="2:12" s="9" customFormat="1" ht="13.5" customHeight="1" x14ac:dyDescent="0.2">
      <c r="B1094" s="10"/>
      <c r="C1094" s="98" t="s">
        <v>1338</v>
      </c>
      <c r="D1094" s="70" t="s">
        <v>1339</v>
      </c>
      <c r="E1094" s="103" t="s">
        <v>109</v>
      </c>
      <c r="F1094" s="75">
        <v>105900</v>
      </c>
      <c r="G1094" s="73" t="s">
        <v>98</v>
      </c>
      <c r="H1094" s="71" t="s">
        <v>118</v>
      </c>
      <c r="I1094" s="73"/>
      <c r="J1094" s="75">
        <f>I1094*105900</f>
        <v>0</v>
      </c>
      <c r="K1094" s="74"/>
      <c r="L1094" s="11"/>
    </row>
    <row r="1095" spans="2:12" s="1" customFormat="1" ht="44.1" customHeight="1" x14ac:dyDescent="0.2">
      <c r="B1095" s="8"/>
      <c r="C1095" s="63" t="s">
        <v>1340</v>
      </c>
      <c r="D1095" s="62"/>
      <c r="E1095" s="63"/>
      <c r="F1095" s="108"/>
      <c r="G1095" s="108"/>
      <c r="H1095" s="63"/>
      <c r="I1095" s="63"/>
      <c r="J1095" s="63"/>
      <c r="K1095" s="63"/>
      <c r="L1095" s="8"/>
    </row>
    <row r="1096" spans="2:12" s="9" customFormat="1" ht="13.5" customHeight="1" x14ac:dyDescent="0.2">
      <c r="B1096" s="10"/>
      <c r="C1096" s="97" t="s">
        <v>1341</v>
      </c>
      <c r="D1096" s="64" t="s">
        <v>20</v>
      </c>
      <c r="E1096" s="102" t="s">
        <v>25</v>
      </c>
      <c r="F1096" s="66">
        <v>108</v>
      </c>
      <c r="G1096" s="67" t="s">
        <v>98</v>
      </c>
      <c r="H1096" s="65" t="s">
        <v>237</v>
      </c>
      <c r="I1096" s="67"/>
      <c r="J1096" s="69">
        <f>I1096*540</f>
        <v>0</v>
      </c>
      <c r="K1096" s="68"/>
      <c r="L1096" s="11"/>
    </row>
    <row r="1097" spans="2:12" s="9" customFormat="1" ht="13.5" customHeight="1" x14ac:dyDescent="0.2">
      <c r="B1097" s="10"/>
      <c r="C1097" s="98" t="s">
        <v>1342</v>
      </c>
      <c r="D1097" s="70" t="s">
        <v>20</v>
      </c>
      <c r="E1097" s="103" t="s">
        <v>25</v>
      </c>
      <c r="F1097" s="72">
        <v>132</v>
      </c>
      <c r="G1097" s="73" t="s">
        <v>98</v>
      </c>
      <c r="H1097" s="71" t="s">
        <v>237</v>
      </c>
      <c r="I1097" s="73"/>
      <c r="J1097" s="75">
        <f t="shared" ref="J1097:J1107" si="0">I1097*660</f>
        <v>0</v>
      </c>
      <c r="K1097" s="74"/>
      <c r="L1097" s="11"/>
    </row>
    <row r="1098" spans="2:12" s="9" customFormat="1" ht="13.5" customHeight="1" x14ac:dyDescent="0.2">
      <c r="B1098" s="10"/>
      <c r="C1098" s="98" t="s">
        <v>1343</v>
      </c>
      <c r="D1098" s="70" t="s">
        <v>20</v>
      </c>
      <c r="E1098" s="103" t="s">
        <v>25</v>
      </c>
      <c r="F1098" s="72">
        <v>132</v>
      </c>
      <c r="G1098" s="73" t="s">
        <v>98</v>
      </c>
      <c r="H1098" s="71" t="s">
        <v>237</v>
      </c>
      <c r="I1098" s="73"/>
      <c r="J1098" s="75">
        <f t="shared" si="0"/>
        <v>0</v>
      </c>
      <c r="K1098" s="74"/>
      <c r="L1098" s="11"/>
    </row>
    <row r="1099" spans="2:12" s="9" customFormat="1" ht="13.5" customHeight="1" x14ac:dyDescent="0.2">
      <c r="B1099" s="10"/>
      <c r="C1099" s="98" t="s">
        <v>1344</v>
      </c>
      <c r="D1099" s="70" t="s">
        <v>20</v>
      </c>
      <c r="E1099" s="103" t="s">
        <v>25</v>
      </c>
      <c r="F1099" s="72">
        <v>132</v>
      </c>
      <c r="G1099" s="73" t="s">
        <v>98</v>
      </c>
      <c r="H1099" s="71" t="s">
        <v>237</v>
      </c>
      <c r="I1099" s="73"/>
      <c r="J1099" s="75">
        <f t="shared" si="0"/>
        <v>0</v>
      </c>
      <c r="K1099" s="74"/>
      <c r="L1099" s="11"/>
    </row>
    <row r="1100" spans="2:12" s="9" customFormat="1" ht="13.5" customHeight="1" x14ac:dyDescent="0.2">
      <c r="B1100" s="10"/>
      <c r="C1100" s="98" t="s">
        <v>1345</v>
      </c>
      <c r="D1100" s="70" t="s">
        <v>20</v>
      </c>
      <c r="E1100" s="103" t="s">
        <v>25</v>
      </c>
      <c r="F1100" s="72">
        <v>132</v>
      </c>
      <c r="G1100" s="73" t="s">
        <v>98</v>
      </c>
      <c r="H1100" s="71" t="s">
        <v>237</v>
      </c>
      <c r="I1100" s="73"/>
      <c r="J1100" s="75">
        <f t="shared" si="0"/>
        <v>0</v>
      </c>
      <c r="K1100" s="74"/>
      <c r="L1100" s="11"/>
    </row>
    <row r="1101" spans="2:12" s="9" customFormat="1" ht="13.5" customHeight="1" x14ac:dyDescent="0.2">
      <c r="B1101" s="10"/>
      <c r="C1101" s="98" t="s">
        <v>1346</v>
      </c>
      <c r="D1101" s="70" t="s">
        <v>20</v>
      </c>
      <c r="E1101" s="103" t="s">
        <v>25</v>
      </c>
      <c r="F1101" s="72">
        <v>132</v>
      </c>
      <c r="G1101" s="73" t="s">
        <v>98</v>
      </c>
      <c r="H1101" s="71" t="s">
        <v>237</v>
      </c>
      <c r="I1101" s="73"/>
      <c r="J1101" s="75">
        <f t="shared" si="0"/>
        <v>0</v>
      </c>
      <c r="K1101" s="74"/>
      <c r="L1101" s="11"/>
    </row>
    <row r="1102" spans="2:12" s="9" customFormat="1" ht="13.5" customHeight="1" x14ac:dyDescent="0.2">
      <c r="B1102" s="10"/>
      <c r="C1102" s="98" t="s">
        <v>1347</v>
      </c>
      <c r="D1102" s="70" t="s">
        <v>20</v>
      </c>
      <c r="E1102" s="103" t="s">
        <v>25</v>
      </c>
      <c r="F1102" s="72">
        <v>132</v>
      </c>
      <c r="G1102" s="73" t="s">
        <v>98</v>
      </c>
      <c r="H1102" s="71" t="s">
        <v>237</v>
      </c>
      <c r="I1102" s="73"/>
      <c r="J1102" s="75">
        <f t="shared" si="0"/>
        <v>0</v>
      </c>
      <c r="K1102" s="74"/>
      <c r="L1102" s="11"/>
    </row>
    <row r="1103" spans="2:12" s="9" customFormat="1" ht="13.5" customHeight="1" x14ac:dyDescent="0.2">
      <c r="B1103" s="10"/>
      <c r="C1103" s="98" t="s">
        <v>1348</v>
      </c>
      <c r="D1103" s="70" t="s">
        <v>20</v>
      </c>
      <c r="E1103" s="103" t="s">
        <v>25</v>
      </c>
      <c r="F1103" s="72">
        <v>132</v>
      </c>
      <c r="G1103" s="73" t="s">
        <v>98</v>
      </c>
      <c r="H1103" s="71" t="s">
        <v>237</v>
      </c>
      <c r="I1103" s="73"/>
      <c r="J1103" s="75">
        <f t="shared" si="0"/>
        <v>0</v>
      </c>
      <c r="K1103" s="74"/>
      <c r="L1103" s="11"/>
    </row>
    <row r="1104" spans="2:12" s="9" customFormat="1" ht="13.5" customHeight="1" x14ac:dyDescent="0.2">
      <c r="B1104" s="10"/>
      <c r="C1104" s="98" t="s">
        <v>1349</v>
      </c>
      <c r="D1104" s="70" t="s">
        <v>20</v>
      </c>
      <c r="E1104" s="103" t="s">
        <v>25</v>
      </c>
      <c r="F1104" s="72">
        <v>132</v>
      </c>
      <c r="G1104" s="73" t="s">
        <v>98</v>
      </c>
      <c r="H1104" s="71" t="s">
        <v>237</v>
      </c>
      <c r="I1104" s="73"/>
      <c r="J1104" s="75">
        <f t="shared" si="0"/>
        <v>0</v>
      </c>
      <c r="K1104" s="74"/>
      <c r="L1104" s="11"/>
    </row>
    <row r="1105" spans="2:12" s="9" customFormat="1" ht="13.5" customHeight="1" x14ac:dyDescent="0.2">
      <c r="B1105" s="10"/>
      <c r="C1105" s="98" t="s">
        <v>1350</v>
      </c>
      <c r="D1105" s="70" t="s">
        <v>20</v>
      </c>
      <c r="E1105" s="103" t="s">
        <v>25</v>
      </c>
      <c r="F1105" s="72">
        <v>132</v>
      </c>
      <c r="G1105" s="73" t="s">
        <v>98</v>
      </c>
      <c r="H1105" s="71" t="s">
        <v>237</v>
      </c>
      <c r="I1105" s="73"/>
      <c r="J1105" s="75">
        <f t="shared" si="0"/>
        <v>0</v>
      </c>
      <c r="K1105" s="74"/>
      <c r="L1105" s="11"/>
    </row>
    <row r="1106" spans="2:12" s="9" customFormat="1" ht="13.5" customHeight="1" x14ac:dyDescent="0.2">
      <c r="B1106" s="10"/>
      <c r="C1106" s="98" t="s">
        <v>1351</v>
      </c>
      <c r="D1106" s="70" t="s">
        <v>20</v>
      </c>
      <c r="E1106" s="103" t="s">
        <v>25</v>
      </c>
      <c r="F1106" s="72">
        <v>132</v>
      </c>
      <c r="G1106" s="73" t="s">
        <v>98</v>
      </c>
      <c r="H1106" s="71" t="s">
        <v>237</v>
      </c>
      <c r="I1106" s="73"/>
      <c r="J1106" s="75">
        <f t="shared" si="0"/>
        <v>0</v>
      </c>
      <c r="K1106" s="74"/>
      <c r="L1106" s="11"/>
    </row>
    <row r="1107" spans="2:12" s="9" customFormat="1" ht="13.5" customHeight="1" x14ac:dyDescent="0.2">
      <c r="B1107" s="10"/>
      <c r="C1107" s="98" t="s">
        <v>1352</v>
      </c>
      <c r="D1107" s="70" t="s">
        <v>20</v>
      </c>
      <c r="E1107" s="103" t="s">
        <v>25</v>
      </c>
      <c r="F1107" s="72">
        <v>132</v>
      </c>
      <c r="G1107" s="73" t="s">
        <v>98</v>
      </c>
      <c r="H1107" s="71" t="s">
        <v>237</v>
      </c>
      <c r="I1107" s="73"/>
      <c r="J1107" s="75">
        <f t="shared" si="0"/>
        <v>0</v>
      </c>
      <c r="K1107" s="74"/>
      <c r="L1107" s="11"/>
    </row>
    <row r="1108" spans="2:12" s="9" customFormat="1" ht="13.5" customHeight="1" x14ac:dyDescent="0.2">
      <c r="B1108" s="10"/>
      <c r="C1108" s="97" t="s">
        <v>1353</v>
      </c>
      <c r="D1108" s="64" t="s">
        <v>20</v>
      </c>
      <c r="E1108" s="102" t="s">
        <v>25</v>
      </c>
      <c r="F1108" s="66">
        <v>154</v>
      </c>
      <c r="G1108" s="67" t="s">
        <v>98</v>
      </c>
      <c r="H1108" s="65" t="s">
        <v>237</v>
      </c>
      <c r="I1108" s="67"/>
      <c r="J1108" s="69">
        <f>I1108*770</f>
        <v>0</v>
      </c>
      <c r="K1108" s="68"/>
      <c r="L1108" s="11"/>
    </row>
    <row r="1109" spans="2:12" s="9" customFormat="1" ht="13.5" customHeight="1" x14ac:dyDescent="0.2">
      <c r="B1109" s="10"/>
      <c r="C1109" s="98" t="s">
        <v>1354</v>
      </c>
      <c r="D1109" s="70" t="s">
        <v>20</v>
      </c>
      <c r="E1109" s="103" t="s">
        <v>25</v>
      </c>
      <c r="F1109" s="72">
        <v>189</v>
      </c>
      <c r="G1109" s="73" t="s">
        <v>98</v>
      </c>
      <c r="H1109" s="71" t="s">
        <v>237</v>
      </c>
      <c r="I1109" s="73"/>
      <c r="J1109" s="75">
        <f t="shared" ref="J1109:J1118" si="1">I1109*945</f>
        <v>0</v>
      </c>
      <c r="K1109" s="74"/>
      <c r="L1109" s="11"/>
    </row>
    <row r="1110" spans="2:12" s="9" customFormat="1" ht="13.5" customHeight="1" x14ac:dyDescent="0.2">
      <c r="B1110" s="10"/>
      <c r="C1110" s="98" t="s">
        <v>1355</v>
      </c>
      <c r="D1110" s="70" t="s">
        <v>20</v>
      </c>
      <c r="E1110" s="103" t="s">
        <v>25</v>
      </c>
      <c r="F1110" s="72">
        <v>189</v>
      </c>
      <c r="G1110" s="73" t="s">
        <v>98</v>
      </c>
      <c r="H1110" s="71" t="s">
        <v>237</v>
      </c>
      <c r="I1110" s="73"/>
      <c r="J1110" s="75">
        <f t="shared" si="1"/>
        <v>0</v>
      </c>
      <c r="K1110" s="74"/>
      <c r="L1110" s="11"/>
    </row>
    <row r="1111" spans="2:12" s="9" customFormat="1" ht="13.5" customHeight="1" x14ac:dyDescent="0.2">
      <c r="B1111" s="10"/>
      <c r="C1111" s="98" t="s">
        <v>1356</v>
      </c>
      <c r="D1111" s="70" t="s">
        <v>20</v>
      </c>
      <c r="E1111" s="103" t="s">
        <v>25</v>
      </c>
      <c r="F1111" s="72">
        <v>189</v>
      </c>
      <c r="G1111" s="73" t="s">
        <v>98</v>
      </c>
      <c r="H1111" s="71" t="s">
        <v>237</v>
      </c>
      <c r="I1111" s="73"/>
      <c r="J1111" s="75">
        <f t="shared" si="1"/>
        <v>0</v>
      </c>
      <c r="K1111" s="74"/>
      <c r="L1111" s="11"/>
    </row>
    <row r="1112" spans="2:12" s="9" customFormat="1" ht="13.5" customHeight="1" x14ac:dyDescent="0.2">
      <c r="B1112" s="10"/>
      <c r="C1112" s="98" t="s">
        <v>1357</v>
      </c>
      <c r="D1112" s="70" t="s">
        <v>20</v>
      </c>
      <c r="E1112" s="103" t="s">
        <v>25</v>
      </c>
      <c r="F1112" s="72">
        <v>189</v>
      </c>
      <c r="G1112" s="73" t="s">
        <v>98</v>
      </c>
      <c r="H1112" s="71" t="s">
        <v>237</v>
      </c>
      <c r="I1112" s="73"/>
      <c r="J1112" s="75">
        <f t="shared" si="1"/>
        <v>0</v>
      </c>
      <c r="K1112" s="74"/>
      <c r="L1112" s="11"/>
    </row>
    <row r="1113" spans="2:12" s="9" customFormat="1" ht="13.5" customHeight="1" x14ac:dyDescent="0.2">
      <c r="B1113" s="10"/>
      <c r="C1113" s="98" t="s">
        <v>1358</v>
      </c>
      <c r="D1113" s="70" t="s">
        <v>20</v>
      </c>
      <c r="E1113" s="103" t="s">
        <v>25</v>
      </c>
      <c r="F1113" s="72">
        <v>189</v>
      </c>
      <c r="G1113" s="73" t="s">
        <v>98</v>
      </c>
      <c r="H1113" s="71" t="s">
        <v>237</v>
      </c>
      <c r="I1113" s="73"/>
      <c r="J1113" s="75">
        <f t="shared" si="1"/>
        <v>0</v>
      </c>
      <c r="K1113" s="74"/>
      <c r="L1113" s="11"/>
    </row>
    <row r="1114" spans="2:12" s="9" customFormat="1" ht="13.5" customHeight="1" x14ac:dyDescent="0.2">
      <c r="B1114" s="10"/>
      <c r="C1114" s="98" t="s">
        <v>1359</v>
      </c>
      <c r="D1114" s="70" t="s">
        <v>20</v>
      </c>
      <c r="E1114" s="103" t="s">
        <v>25</v>
      </c>
      <c r="F1114" s="72">
        <v>189</v>
      </c>
      <c r="G1114" s="73" t="s">
        <v>98</v>
      </c>
      <c r="H1114" s="71" t="s">
        <v>237</v>
      </c>
      <c r="I1114" s="73"/>
      <c r="J1114" s="75">
        <f t="shared" si="1"/>
        <v>0</v>
      </c>
      <c r="K1114" s="74"/>
      <c r="L1114" s="11"/>
    </row>
    <row r="1115" spans="2:12" s="9" customFormat="1" ht="13.5" customHeight="1" x14ac:dyDescent="0.2">
      <c r="B1115" s="10"/>
      <c r="C1115" s="98" t="s">
        <v>1360</v>
      </c>
      <c r="D1115" s="70" t="s">
        <v>20</v>
      </c>
      <c r="E1115" s="103" t="s">
        <v>25</v>
      </c>
      <c r="F1115" s="72">
        <v>189</v>
      </c>
      <c r="G1115" s="73" t="s">
        <v>98</v>
      </c>
      <c r="H1115" s="71" t="s">
        <v>237</v>
      </c>
      <c r="I1115" s="73"/>
      <c r="J1115" s="75">
        <f t="shared" si="1"/>
        <v>0</v>
      </c>
      <c r="K1115" s="74"/>
      <c r="L1115" s="11"/>
    </row>
    <row r="1116" spans="2:12" s="9" customFormat="1" ht="13.5" customHeight="1" x14ac:dyDescent="0.2">
      <c r="B1116" s="10"/>
      <c r="C1116" s="98" t="s">
        <v>1361</v>
      </c>
      <c r="D1116" s="70" t="s">
        <v>20</v>
      </c>
      <c r="E1116" s="103" t="s">
        <v>25</v>
      </c>
      <c r="F1116" s="72">
        <v>189</v>
      </c>
      <c r="G1116" s="73" t="s">
        <v>98</v>
      </c>
      <c r="H1116" s="71" t="s">
        <v>237</v>
      </c>
      <c r="I1116" s="73"/>
      <c r="J1116" s="75">
        <f t="shared" si="1"/>
        <v>0</v>
      </c>
      <c r="K1116" s="74"/>
      <c r="L1116" s="11"/>
    </row>
    <row r="1117" spans="2:12" s="9" customFormat="1" ht="13.5" customHeight="1" x14ac:dyDescent="0.2">
      <c r="B1117" s="10"/>
      <c r="C1117" s="98" t="s">
        <v>1362</v>
      </c>
      <c r="D1117" s="70" t="s">
        <v>20</v>
      </c>
      <c r="E1117" s="103" t="s">
        <v>25</v>
      </c>
      <c r="F1117" s="72">
        <v>189</v>
      </c>
      <c r="G1117" s="73" t="s">
        <v>98</v>
      </c>
      <c r="H1117" s="71" t="s">
        <v>237</v>
      </c>
      <c r="I1117" s="73"/>
      <c r="J1117" s="75">
        <f t="shared" si="1"/>
        <v>0</v>
      </c>
      <c r="K1117" s="74"/>
      <c r="L1117" s="11"/>
    </row>
    <row r="1118" spans="2:12" s="9" customFormat="1" ht="13.5" customHeight="1" x14ac:dyDescent="0.2">
      <c r="B1118" s="10"/>
      <c r="C1118" s="98" t="s">
        <v>1363</v>
      </c>
      <c r="D1118" s="70" t="s">
        <v>20</v>
      </c>
      <c r="E1118" s="103" t="s">
        <v>25</v>
      </c>
      <c r="F1118" s="72">
        <v>189</v>
      </c>
      <c r="G1118" s="73" t="s">
        <v>98</v>
      </c>
      <c r="H1118" s="71" t="s">
        <v>237</v>
      </c>
      <c r="I1118" s="73"/>
      <c r="J1118" s="75">
        <f t="shared" si="1"/>
        <v>0</v>
      </c>
      <c r="K1118" s="74"/>
      <c r="L1118" s="11"/>
    </row>
    <row r="1119" spans="2:12" s="9" customFormat="1" ht="13.5" customHeight="1" x14ac:dyDescent="0.2">
      <c r="B1119" s="10"/>
      <c r="C1119" s="98" t="s">
        <v>1364</v>
      </c>
      <c r="D1119" s="70" t="s">
        <v>20</v>
      </c>
      <c r="E1119" s="103" t="s">
        <v>25</v>
      </c>
      <c r="F1119" s="72">
        <v>206</v>
      </c>
      <c r="G1119" s="73" t="s">
        <v>98</v>
      </c>
      <c r="H1119" s="71" t="s">
        <v>237</v>
      </c>
      <c r="I1119" s="73"/>
      <c r="J1119" s="75">
        <f t="shared" ref="J1119:J1126" si="2">I1119*1030</f>
        <v>0</v>
      </c>
      <c r="K1119" s="74"/>
      <c r="L1119" s="11"/>
    </row>
    <row r="1120" spans="2:12" s="9" customFormat="1" ht="13.5" customHeight="1" x14ac:dyDescent="0.2">
      <c r="B1120" s="10"/>
      <c r="C1120" s="98" t="s">
        <v>1365</v>
      </c>
      <c r="D1120" s="70" t="s">
        <v>20</v>
      </c>
      <c r="E1120" s="103" t="s">
        <v>25</v>
      </c>
      <c r="F1120" s="72">
        <v>206</v>
      </c>
      <c r="G1120" s="73" t="s">
        <v>98</v>
      </c>
      <c r="H1120" s="71" t="s">
        <v>237</v>
      </c>
      <c r="I1120" s="73"/>
      <c r="J1120" s="75">
        <f t="shared" si="2"/>
        <v>0</v>
      </c>
      <c r="K1120" s="74"/>
      <c r="L1120" s="11"/>
    </row>
    <row r="1121" spans="2:12" s="9" customFormat="1" ht="13.5" customHeight="1" x14ac:dyDescent="0.2">
      <c r="B1121" s="10"/>
      <c r="C1121" s="98" t="s">
        <v>1366</v>
      </c>
      <c r="D1121" s="70" t="s">
        <v>20</v>
      </c>
      <c r="E1121" s="103" t="s">
        <v>25</v>
      </c>
      <c r="F1121" s="72">
        <v>206</v>
      </c>
      <c r="G1121" s="73" t="s">
        <v>98</v>
      </c>
      <c r="H1121" s="71" t="s">
        <v>237</v>
      </c>
      <c r="I1121" s="73"/>
      <c r="J1121" s="75">
        <f t="shared" si="2"/>
        <v>0</v>
      </c>
      <c r="K1121" s="74"/>
      <c r="L1121" s="11"/>
    </row>
    <row r="1122" spans="2:12" s="9" customFormat="1" ht="13.5" customHeight="1" x14ac:dyDescent="0.2">
      <c r="B1122" s="10"/>
      <c r="C1122" s="98" t="s">
        <v>1367</v>
      </c>
      <c r="D1122" s="70" t="s">
        <v>20</v>
      </c>
      <c r="E1122" s="103" t="s">
        <v>25</v>
      </c>
      <c r="F1122" s="72">
        <v>206</v>
      </c>
      <c r="G1122" s="73" t="s">
        <v>98</v>
      </c>
      <c r="H1122" s="71" t="s">
        <v>237</v>
      </c>
      <c r="I1122" s="73"/>
      <c r="J1122" s="75">
        <f t="shared" si="2"/>
        <v>0</v>
      </c>
      <c r="K1122" s="74"/>
      <c r="L1122" s="11"/>
    </row>
    <row r="1123" spans="2:12" s="9" customFormat="1" ht="13.5" customHeight="1" x14ac:dyDescent="0.2">
      <c r="B1123" s="10"/>
      <c r="C1123" s="98" t="s">
        <v>1368</v>
      </c>
      <c r="D1123" s="70" t="s">
        <v>20</v>
      </c>
      <c r="E1123" s="103" t="s">
        <v>25</v>
      </c>
      <c r="F1123" s="72">
        <v>206</v>
      </c>
      <c r="G1123" s="73" t="s">
        <v>98</v>
      </c>
      <c r="H1123" s="71" t="s">
        <v>237</v>
      </c>
      <c r="I1123" s="73"/>
      <c r="J1123" s="75">
        <f t="shared" si="2"/>
        <v>0</v>
      </c>
      <c r="K1123" s="74"/>
      <c r="L1123" s="11"/>
    </row>
    <row r="1124" spans="2:12" s="9" customFormat="1" ht="13.5" customHeight="1" x14ac:dyDescent="0.2">
      <c r="B1124" s="10"/>
      <c r="C1124" s="98" t="s">
        <v>1369</v>
      </c>
      <c r="D1124" s="70" t="s">
        <v>20</v>
      </c>
      <c r="E1124" s="103" t="s">
        <v>25</v>
      </c>
      <c r="F1124" s="72">
        <v>206</v>
      </c>
      <c r="G1124" s="73" t="s">
        <v>98</v>
      </c>
      <c r="H1124" s="71" t="s">
        <v>237</v>
      </c>
      <c r="I1124" s="73"/>
      <c r="J1124" s="75">
        <f t="shared" si="2"/>
        <v>0</v>
      </c>
      <c r="K1124" s="74"/>
      <c r="L1124" s="11"/>
    </row>
    <row r="1125" spans="2:12" s="9" customFormat="1" ht="13.5" customHeight="1" x14ac:dyDescent="0.2">
      <c r="B1125" s="10"/>
      <c r="C1125" s="98" t="s">
        <v>1370</v>
      </c>
      <c r="D1125" s="70" t="s">
        <v>20</v>
      </c>
      <c r="E1125" s="103" t="s">
        <v>25</v>
      </c>
      <c r="F1125" s="72">
        <v>206</v>
      </c>
      <c r="G1125" s="73" t="s">
        <v>98</v>
      </c>
      <c r="H1125" s="71" t="s">
        <v>237</v>
      </c>
      <c r="I1125" s="73"/>
      <c r="J1125" s="75">
        <f t="shared" si="2"/>
        <v>0</v>
      </c>
      <c r="K1125" s="74"/>
      <c r="L1125" s="11"/>
    </row>
    <row r="1126" spans="2:12" s="9" customFormat="1" ht="13.5" customHeight="1" x14ac:dyDescent="0.2">
      <c r="B1126" s="10"/>
      <c r="C1126" s="98" t="s">
        <v>1371</v>
      </c>
      <c r="D1126" s="70" t="s">
        <v>20</v>
      </c>
      <c r="E1126" s="103" t="s">
        <v>25</v>
      </c>
      <c r="F1126" s="72">
        <v>206</v>
      </c>
      <c r="G1126" s="73" t="s">
        <v>98</v>
      </c>
      <c r="H1126" s="71" t="s">
        <v>237</v>
      </c>
      <c r="I1126" s="73"/>
      <c r="J1126" s="75">
        <f t="shared" si="2"/>
        <v>0</v>
      </c>
      <c r="K1126" s="74"/>
      <c r="L1126" s="11"/>
    </row>
    <row r="1127" spans="2:12" s="9" customFormat="1" ht="13.5" customHeight="1" x14ac:dyDescent="0.2">
      <c r="B1127" s="10"/>
      <c r="C1127" s="98" t="s">
        <v>1372</v>
      </c>
      <c r="D1127" s="70" t="s">
        <v>20</v>
      </c>
      <c r="E1127" s="103" t="s">
        <v>28</v>
      </c>
      <c r="F1127" s="72">
        <v>237.57</v>
      </c>
      <c r="G1127" s="73" t="s">
        <v>98</v>
      </c>
      <c r="H1127" s="71" t="s">
        <v>118</v>
      </c>
      <c r="I1127" s="73"/>
      <c r="J1127" s="75">
        <f>I1127*237.57</f>
        <v>0</v>
      </c>
      <c r="K1127" s="74"/>
      <c r="L1127" s="11"/>
    </row>
    <row r="1128" spans="2:12" s="9" customFormat="1" ht="13.5" customHeight="1" x14ac:dyDescent="0.2">
      <c r="B1128" s="10"/>
      <c r="C1128" s="98" t="s">
        <v>1373</v>
      </c>
      <c r="D1128" s="70" t="s">
        <v>20</v>
      </c>
      <c r="E1128" s="103" t="s">
        <v>28</v>
      </c>
      <c r="F1128" s="72">
        <v>271.43</v>
      </c>
      <c r="G1128" s="73" t="s">
        <v>98</v>
      </c>
      <c r="H1128" s="71" t="s">
        <v>118</v>
      </c>
      <c r="I1128" s="73"/>
      <c r="J1128" s="75">
        <f>I1128*271.43</f>
        <v>0</v>
      </c>
      <c r="K1128" s="74"/>
      <c r="L1128" s="11"/>
    </row>
    <row r="1129" spans="2:12" s="9" customFormat="1" ht="13.5" customHeight="1" x14ac:dyDescent="0.2">
      <c r="B1129" s="10"/>
      <c r="C1129" s="98" t="s">
        <v>1374</v>
      </c>
      <c r="D1129" s="70" t="s">
        <v>20</v>
      </c>
      <c r="E1129" s="103" t="s">
        <v>28</v>
      </c>
      <c r="F1129" s="72">
        <v>285</v>
      </c>
      <c r="G1129" s="73" t="s">
        <v>98</v>
      </c>
      <c r="H1129" s="71" t="s">
        <v>118</v>
      </c>
      <c r="I1129" s="73"/>
      <c r="J1129" s="75">
        <f>I1129*285</f>
        <v>0</v>
      </c>
      <c r="K1129" s="74"/>
      <c r="L1129" s="11"/>
    </row>
    <row r="1130" spans="2:12" s="9" customFormat="1" ht="13.5" customHeight="1" x14ac:dyDescent="0.2">
      <c r="B1130" s="10"/>
      <c r="C1130" s="99" t="s">
        <v>1375</v>
      </c>
      <c r="D1130" s="76" t="s">
        <v>20</v>
      </c>
      <c r="E1130" s="104" t="s">
        <v>164</v>
      </c>
      <c r="F1130" s="78">
        <v>315</v>
      </c>
      <c r="G1130" s="79" t="s">
        <v>98</v>
      </c>
      <c r="H1130" s="77" t="s">
        <v>118</v>
      </c>
      <c r="I1130" s="79"/>
      <c r="J1130" s="81">
        <f>I1130*315</f>
        <v>0</v>
      </c>
      <c r="K1130" s="80"/>
      <c r="L1130" s="11"/>
    </row>
    <row r="1131" spans="2:12" s="9" customFormat="1" ht="13.5" customHeight="1" x14ac:dyDescent="0.2">
      <c r="B1131" s="10"/>
      <c r="C1131" s="99" t="s">
        <v>1376</v>
      </c>
      <c r="D1131" s="76" t="s">
        <v>20</v>
      </c>
      <c r="E1131" s="104" t="s">
        <v>164</v>
      </c>
      <c r="F1131" s="78">
        <v>315</v>
      </c>
      <c r="G1131" s="79" t="s">
        <v>98</v>
      </c>
      <c r="H1131" s="77" t="s">
        <v>118</v>
      </c>
      <c r="I1131" s="79"/>
      <c r="J1131" s="81">
        <f>I1131*315</f>
        <v>0</v>
      </c>
      <c r="K1131" s="80"/>
      <c r="L1131" s="11"/>
    </row>
    <row r="1132" spans="2:12" s="9" customFormat="1" ht="13.5" customHeight="1" x14ac:dyDescent="0.2">
      <c r="B1132" s="10"/>
      <c r="C1132" s="98" t="s">
        <v>1377</v>
      </c>
      <c r="D1132" s="70" t="s">
        <v>20</v>
      </c>
      <c r="E1132" s="103" t="s">
        <v>1378</v>
      </c>
      <c r="F1132" s="75">
        <v>1990</v>
      </c>
      <c r="G1132" s="73" t="s">
        <v>98</v>
      </c>
      <c r="H1132" s="71" t="s">
        <v>118</v>
      </c>
      <c r="I1132" s="73"/>
      <c r="J1132" s="75">
        <f>I1132*1990</f>
        <v>0</v>
      </c>
      <c r="K1132" s="74"/>
      <c r="L1132" s="11"/>
    </row>
    <row r="1133" spans="2:12" s="1" customFormat="1" ht="44.1" customHeight="1" x14ac:dyDescent="0.2">
      <c r="B1133" s="8"/>
      <c r="C1133" s="63" t="s">
        <v>1379</v>
      </c>
      <c r="D1133" s="62"/>
      <c r="E1133" s="63"/>
      <c r="F1133" s="108"/>
      <c r="G1133" s="108"/>
      <c r="H1133" s="63"/>
      <c r="I1133" s="63"/>
      <c r="J1133" s="63"/>
      <c r="K1133" s="63"/>
      <c r="L1133" s="8"/>
    </row>
    <row r="1134" spans="2:12" s="9" customFormat="1" ht="13.5" customHeight="1" x14ac:dyDescent="0.2">
      <c r="B1134" s="10"/>
      <c r="C1134" s="98" t="s">
        <v>1380</v>
      </c>
      <c r="D1134" s="70" t="s">
        <v>20</v>
      </c>
      <c r="E1134" s="103" t="s">
        <v>20</v>
      </c>
      <c r="F1134" s="72">
        <v>45</v>
      </c>
      <c r="G1134" s="73" t="s">
        <v>98</v>
      </c>
      <c r="H1134" s="71" t="s">
        <v>118</v>
      </c>
      <c r="I1134" s="73"/>
      <c r="J1134" s="75">
        <f>I1134*45</f>
        <v>0</v>
      </c>
      <c r="K1134" s="74"/>
      <c r="L1134" s="11"/>
    </row>
    <row r="1135" spans="2:12" s="9" customFormat="1" ht="13.5" customHeight="1" x14ac:dyDescent="0.2">
      <c r="B1135" s="10"/>
      <c r="C1135" s="98" t="s">
        <v>1381</v>
      </c>
      <c r="D1135" s="70" t="s">
        <v>20</v>
      </c>
      <c r="E1135" s="103" t="s">
        <v>20</v>
      </c>
      <c r="F1135" s="72">
        <v>49</v>
      </c>
      <c r="G1135" s="73" t="s">
        <v>98</v>
      </c>
      <c r="H1135" s="71" t="s">
        <v>118</v>
      </c>
      <c r="I1135" s="73"/>
      <c r="J1135" s="75">
        <f>I1135*49</f>
        <v>0</v>
      </c>
      <c r="K1135" s="74"/>
      <c r="L1135" s="11"/>
    </row>
    <row r="1136" spans="2:12" s="9" customFormat="1" ht="13.5" customHeight="1" x14ac:dyDescent="0.2">
      <c r="B1136" s="10"/>
      <c r="C1136" s="98" t="s">
        <v>1382</v>
      </c>
      <c r="D1136" s="70" t="s">
        <v>20</v>
      </c>
      <c r="E1136" s="103" t="s">
        <v>20</v>
      </c>
      <c r="F1136" s="72">
        <v>69</v>
      </c>
      <c r="G1136" s="73" t="s">
        <v>98</v>
      </c>
      <c r="H1136" s="71" t="s">
        <v>118</v>
      </c>
      <c r="I1136" s="73"/>
      <c r="J1136" s="75">
        <f>I1136*69</f>
        <v>0</v>
      </c>
      <c r="K1136" s="74"/>
      <c r="L1136" s="11"/>
    </row>
    <row r="1137" spans="2:12" s="9" customFormat="1" ht="13.5" customHeight="1" x14ac:dyDescent="0.2">
      <c r="B1137" s="10"/>
      <c r="C1137" s="98" t="s">
        <v>1383</v>
      </c>
      <c r="D1137" s="70" t="s">
        <v>20</v>
      </c>
      <c r="E1137" s="103" t="s">
        <v>20</v>
      </c>
      <c r="F1137" s="72">
        <v>72</v>
      </c>
      <c r="G1137" s="73" t="s">
        <v>98</v>
      </c>
      <c r="H1137" s="71" t="s">
        <v>118</v>
      </c>
      <c r="I1137" s="73"/>
      <c r="J1137" s="75">
        <f>I1137*72</f>
        <v>0</v>
      </c>
      <c r="K1137" s="74"/>
      <c r="L1137" s="11"/>
    </row>
    <row r="1138" spans="2:12" s="9" customFormat="1" ht="13.5" customHeight="1" x14ac:dyDescent="0.2">
      <c r="B1138" s="10"/>
      <c r="C1138" s="99" t="s">
        <v>1384</v>
      </c>
      <c r="D1138" s="76" t="s">
        <v>20</v>
      </c>
      <c r="E1138" s="104" t="s">
        <v>20</v>
      </c>
      <c r="F1138" s="78">
        <v>89</v>
      </c>
      <c r="G1138" s="79" t="s">
        <v>98</v>
      </c>
      <c r="H1138" s="77" t="s">
        <v>118</v>
      </c>
      <c r="I1138" s="79"/>
      <c r="J1138" s="81">
        <f>I1138*89</f>
        <v>0</v>
      </c>
      <c r="K1138" s="80"/>
      <c r="L1138" s="11"/>
    </row>
    <row r="1139" spans="2:12" s="9" customFormat="1" ht="13.5" customHeight="1" x14ac:dyDescent="0.2">
      <c r="B1139" s="10"/>
      <c r="C1139" s="98" t="s">
        <v>1385</v>
      </c>
      <c r="D1139" s="70" t="s">
        <v>20</v>
      </c>
      <c r="E1139" s="103" t="s">
        <v>20</v>
      </c>
      <c r="F1139" s="72">
        <v>90</v>
      </c>
      <c r="G1139" s="73" t="s">
        <v>98</v>
      </c>
      <c r="H1139" s="71" t="s">
        <v>118</v>
      </c>
      <c r="I1139" s="73"/>
      <c r="J1139" s="75">
        <f>I1139*90</f>
        <v>0</v>
      </c>
      <c r="K1139" s="74"/>
      <c r="L1139" s="11"/>
    </row>
    <row r="1140" spans="2:12" s="9" customFormat="1" ht="13.5" customHeight="1" x14ac:dyDescent="0.2">
      <c r="B1140" s="10"/>
      <c r="C1140" s="98" t="s">
        <v>1386</v>
      </c>
      <c r="D1140" s="70" t="s">
        <v>20</v>
      </c>
      <c r="E1140" s="103" t="s">
        <v>20</v>
      </c>
      <c r="F1140" s="72">
        <v>94</v>
      </c>
      <c r="G1140" s="73" t="s">
        <v>98</v>
      </c>
      <c r="H1140" s="71" t="s">
        <v>118</v>
      </c>
      <c r="I1140" s="73"/>
      <c r="J1140" s="75">
        <f>I1140*94</f>
        <v>0</v>
      </c>
      <c r="K1140" s="74"/>
      <c r="L1140" s="11"/>
    </row>
    <row r="1141" spans="2:12" s="9" customFormat="1" ht="13.5" customHeight="1" x14ac:dyDescent="0.2">
      <c r="B1141" s="10"/>
      <c r="C1141" s="98" t="s">
        <v>1387</v>
      </c>
      <c r="D1141" s="70" t="s">
        <v>20</v>
      </c>
      <c r="E1141" s="103" t="s">
        <v>20</v>
      </c>
      <c r="F1141" s="72">
        <v>94</v>
      </c>
      <c r="G1141" s="73" t="s">
        <v>98</v>
      </c>
      <c r="H1141" s="71" t="s">
        <v>118</v>
      </c>
      <c r="I1141" s="73"/>
      <c r="J1141" s="75">
        <f>I1141*94</f>
        <v>0</v>
      </c>
      <c r="K1141" s="74"/>
      <c r="L1141" s="11"/>
    </row>
    <row r="1142" spans="2:12" s="9" customFormat="1" ht="13.5" customHeight="1" x14ac:dyDescent="0.2">
      <c r="B1142" s="10"/>
      <c r="C1142" s="98" t="s">
        <v>1388</v>
      </c>
      <c r="D1142" s="70" t="s">
        <v>20</v>
      </c>
      <c r="E1142" s="103" t="s">
        <v>20</v>
      </c>
      <c r="F1142" s="72">
        <v>94</v>
      </c>
      <c r="G1142" s="73" t="s">
        <v>98</v>
      </c>
      <c r="H1142" s="71" t="s">
        <v>194</v>
      </c>
      <c r="I1142" s="73"/>
      <c r="J1142" s="75">
        <f>I1142*1128</f>
        <v>0</v>
      </c>
      <c r="K1142" s="74"/>
      <c r="L1142" s="11"/>
    </row>
    <row r="1143" spans="2:12" s="9" customFormat="1" ht="13.5" customHeight="1" x14ac:dyDescent="0.2">
      <c r="B1143" s="10"/>
      <c r="C1143" s="98" t="s">
        <v>1389</v>
      </c>
      <c r="D1143" s="70" t="s">
        <v>20</v>
      </c>
      <c r="E1143" s="103" t="s">
        <v>20</v>
      </c>
      <c r="F1143" s="72">
        <v>94</v>
      </c>
      <c r="G1143" s="73" t="s">
        <v>98</v>
      </c>
      <c r="H1143" s="71" t="s">
        <v>194</v>
      </c>
      <c r="I1143" s="73"/>
      <c r="J1143" s="75">
        <f>I1143*1128</f>
        <v>0</v>
      </c>
      <c r="K1143" s="74"/>
      <c r="L1143" s="11"/>
    </row>
    <row r="1144" spans="2:12" s="9" customFormat="1" ht="13.5" customHeight="1" x14ac:dyDescent="0.2">
      <c r="B1144" s="10"/>
      <c r="C1144" s="98" t="s">
        <v>1390</v>
      </c>
      <c r="D1144" s="70" t="s">
        <v>20</v>
      </c>
      <c r="E1144" s="103" t="s">
        <v>20</v>
      </c>
      <c r="F1144" s="72">
        <v>94</v>
      </c>
      <c r="G1144" s="73" t="s">
        <v>98</v>
      </c>
      <c r="H1144" s="71" t="s">
        <v>194</v>
      </c>
      <c r="I1144" s="73"/>
      <c r="J1144" s="75">
        <f>I1144*1128</f>
        <v>0</v>
      </c>
      <c r="K1144" s="74"/>
      <c r="L1144" s="11"/>
    </row>
    <row r="1145" spans="2:12" s="9" customFormat="1" ht="13.5" customHeight="1" x14ac:dyDescent="0.2">
      <c r="B1145" s="10"/>
      <c r="C1145" s="98" t="s">
        <v>1391</v>
      </c>
      <c r="D1145" s="70" t="s">
        <v>20</v>
      </c>
      <c r="E1145" s="103" t="s">
        <v>20</v>
      </c>
      <c r="F1145" s="72">
        <v>99</v>
      </c>
      <c r="G1145" s="73" t="s">
        <v>98</v>
      </c>
      <c r="H1145" s="71" t="s">
        <v>118</v>
      </c>
      <c r="I1145" s="73"/>
      <c r="J1145" s="75">
        <f>I1145*99</f>
        <v>0</v>
      </c>
      <c r="K1145" s="74"/>
      <c r="L1145" s="11"/>
    </row>
    <row r="1146" spans="2:12" s="9" customFormat="1" ht="13.5" customHeight="1" x14ac:dyDescent="0.2">
      <c r="B1146" s="10"/>
      <c r="C1146" s="98" t="s">
        <v>1392</v>
      </c>
      <c r="D1146" s="70" t="s">
        <v>20</v>
      </c>
      <c r="E1146" s="103" t="s">
        <v>20</v>
      </c>
      <c r="F1146" s="72">
        <v>99</v>
      </c>
      <c r="G1146" s="73" t="s">
        <v>98</v>
      </c>
      <c r="H1146" s="71" t="s">
        <v>118</v>
      </c>
      <c r="I1146" s="73"/>
      <c r="J1146" s="75">
        <f>I1146*99</f>
        <v>0</v>
      </c>
      <c r="K1146" s="74"/>
      <c r="L1146" s="11"/>
    </row>
    <row r="1147" spans="2:12" s="9" customFormat="1" ht="13.5" customHeight="1" x14ac:dyDescent="0.2">
      <c r="B1147" s="10"/>
      <c r="C1147" s="98" t="s">
        <v>1393</v>
      </c>
      <c r="D1147" s="70" t="s">
        <v>20</v>
      </c>
      <c r="E1147" s="103" t="s">
        <v>20</v>
      </c>
      <c r="F1147" s="72">
        <v>110</v>
      </c>
      <c r="G1147" s="73" t="s">
        <v>98</v>
      </c>
      <c r="H1147" s="71" t="s">
        <v>118</v>
      </c>
      <c r="I1147" s="73"/>
      <c r="J1147" s="75">
        <f>I1147*110</f>
        <v>0</v>
      </c>
      <c r="K1147" s="74"/>
      <c r="L1147" s="11"/>
    </row>
    <row r="1148" spans="2:12" s="9" customFormat="1" ht="13.5" customHeight="1" x14ac:dyDescent="0.2">
      <c r="B1148" s="10"/>
      <c r="C1148" s="98" t="s">
        <v>1394</v>
      </c>
      <c r="D1148" s="70" t="s">
        <v>20</v>
      </c>
      <c r="E1148" s="103" t="s">
        <v>20</v>
      </c>
      <c r="F1148" s="72">
        <v>115</v>
      </c>
      <c r="G1148" s="73" t="s">
        <v>98</v>
      </c>
      <c r="H1148" s="71" t="s">
        <v>194</v>
      </c>
      <c r="I1148" s="73"/>
      <c r="J1148" s="75">
        <f>I1148*1380</f>
        <v>0</v>
      </c>
      <c r="K1148" s="74"/>
      <c r="L1148" s="11"/>
    </row>
    <row r="1149" spans="2:12" s="9" customFormat="1" ht="13.5" customHeight="1" x14ac:dyDescent="0.2">
      <c r="B1149" s="10"/>
      <c r="C1149" s="98" t="s">
        <v>1395</v>
      </c>
      <c r="D1149" s="70" t="s">
        <v>20</v>
      </c>
      <c r="E1149" s="103" t="s">
        <v>20</v>
      </c>
      <c r="F1149" s="72">
        <v>115</v>
      </c>
      <c r="G1149" s="73" t="s">
        <v>98</v>
      </c>
      <c r="H1149" s="71" t="s">
        <v>194</v>
      </c>
      <c r="I1149" s="73"/>
      <c r="J1149" s="75">
        <f>I1149*1380</f>
        <v>0</v>
      </c>
      <c r="K1149" s="74"/>
      <c r="L1149" s="11"/>
    </row>
    <row r="1150" spans="2:12" s="9" customFormat="1" ht="13.5" customHeight="1" x14ac:dyDescent="0.2">
      <c r="B1150" s="10"/>
      <c r="C1150" s="98" t="s">
        <v>1396</v>
      </c>
      <c r="D1150" s="70" t="s">
        <v>20</v>
      </c>
      <c r="E1150" s="103" t="s">
        <v>20</v>
      </c>
      <c r="F1150" s="72">
        <v>119</v>
      </c>
      <c r="G1150" s="73" t="s">
        <v>98</v>
      </c>
      <c r="H1150" s="71" t="s">
        <v>118</v>
      </c>
      <c r="I1150" s="73"/>
      <c r="J1150" s="75">
        <f>I1150*119</f>
        <v>0</v>
      </c>
      <c r="K1150" s="74"/>
      <c r="L1150" s="11"/>
    </row>
    <row r="1151" spans="2:12" s="9" customFormat="1" ht="13.5" customHeight="1" x14ac:dyDescent="0.2">
      <c r="B1151" s="10"/>
      <c r="C1151" s="98" t="s">
        <v>1397</v>
      </c>
      <c r="D1151" s="70" t="s">
        <v>20</v>
      </c>
      <c r="E1151" s="103" t="s">
        <v>20</v>
      </c>
      <c r="F1151" s="72">
        <v>119</v>
      </c>
      <c r="G1151" s="73" t="s">
        <v>98</v>
      </c>
      <c r="H1151" s="71" t="s">
        <v>118</v>
      </c>
      <c r="I1151" s="73"/>
      <c r="J1151" s="75">
        <f>I1151*119</f>
        <v>0</v>
      </c>
      <c r="K1151" s="74"/>
      <c r="L1151" s="11"/>
    </row>
    <row r="1152" spans="2:12" s="9" customFormat="1" ht="13.5" customHeight="1" x14ac:dyDescent="0.2">
      <c r="B1152" s="10"/>
      <c r="C1152" s="99" t="s">
        <v>1398</v>
      </c>
      <c r="D1152" s="76" t="s">
        <v>20</v>
      </c>
      <c r="E1152" s="104" t="s">
        <v>20</v>
      </c>
      <c r="F1152" s="78">
        <v>119</v>
      </c>
      <c r="G1152" s="79" t="s">
        <v>98</v>
      </c>
      <c r="H1152" s="77" t="s">
        <v>118</v>
      </c>
      <c r="I1152" s="79"/>
      <c r="J1152" s="81">
        <f>I1152*119</f>
        <v>0</v>
      </c>
      <c r="K1152" s="80"/>
      <c r="L1152" s="11"/>
    </row>
    <row r="1153" spans="2:12" s="9" customFormat="1" ht="13.5" customHeight="1" x14ac:dyDescent="0.2">
      <c r="B1153" s="10"/>
      <c r="C1153" s="99" t="s">
        <v>1399</v>
      </c>
      <c r="D1153" s="76" t="s">
        <v>20</v>
      </c>
      <c r="E1153" s="104" t="s">
        <v>20</v>
      </c>
      <c r="F1153" s="78">
        <v>119</v>
      </c>
      <c r="G1153" s="79" t="s">
        <v>98</v>
      </c>
      <c r="H1153" s="77" t="s">
        <v>118</v>
      </c>
      <c r="I1153" s="79"/>
      <c r="J1153" s="81">
        <f>I1153*119</f>
        <v>0</v>
      </c>
      <c r="K1153" s="80"/>
      <c r="L1153" s="11"/>
    </row>
    <row r="1154" spans="2:12" s="9" customFormat="1" ht="13.5" customHeight="1" x14ac:dyDescent="0.2">
      <c r="B1154" s="10"/>
      <c r="C1154" s="98" t="s">
        <v>1400</v>
      </c>
      <c r="D1154" s="70" t="s">
        <v>20</v>
      </c>
      <c r="E1154" s="103" t="s">
        <v>20</v>
      </c>
      <c r="F1154" s="72">
        <v>120</v>
      </c>
      <c r="G1154" s="73" t="s">
        <v>98</v>
      </c>
      <c r="H1154" s="71" t="s">
        <v>118</v>
      </c>
      <c r="I1154" s="73"/>
      <c r="J1154" s="75">
        <f>I1154*120</f>
        <v>0</v>
      </c>
      <c r="K1154" s="74"/>
      <c r="L1154" s="11"/>
    </row>
    <row r="1155" spans="2:12" s="9" customFormat="1" ht="13.5" customHeight="1" x14ac:dyDescent="0.2">
      <c r="B1155" s="10"/>
      <c r="C1155" s="98" t="s">
        <v>1401</v>
      </c>
      <c r="D1155" s="70" t="s">
        <v>20</v>
      </c>
      <c r="E1155" s="103" t="s">
        <v>1402</v>
      </c>
      <c r="F1155" s="72">
        <v>121</v>
      </c>
      <c r="G1155" s="73" t="s">
        <v>98</v>
      </c>
      <c r="H1155" s="71" t="s">
        <v>118</v>
      </c>
      <c r="I1155" s="73"/>
      <c r="J1155" s="75">
        <f>I1155*121</f>
        <v>0</v>
      </c>
      <c r="K1155" s="74"/>
      <c r="L1155" s="11"/>
    </row>
    <row r="1156" spans="2:12" s="9" customFormat="1" ht="13.5" customHeight="1" x14ac:dyDescent="0.2">
      <c r="B1156" s="10"/>
      <c r="C1156" s="98" t="s">
        <v>1403</v>
      </c>
      <c r="D1156" s="70" t="s">
        <v>20</v>
      </c>
      <c r="E1156" s="103" t="s">
        <v>20</v>
      </c>
      <c r="F1156" s="72">
        <v>124</v>
      </c>
      <c r="G1156" s="73" t="s">
        <v>98</v>
      </c>
      <c r="H1156" s="71" t="s">
        <v>118</v>
      </c>
      <c r="I1156" s="73"/>
      <c r="J1156" s="75">
        <f>I1156*124</f>
        <v>0</v>
      </c>
      <c r="K1156" s="74"/>
      <c r="L1156" s="11"/>
    </row>
    <row r="1157" spans="2:12" s="9" customFormat="1" ht="13.5" customHeight="1" x14ac:dyDescent="0.2">
      <c r="B1157" s="10"/>
      <c r="C1157" s="98" t="s">
        <v>1404</v>
      </c>
      <c r="D1157" s="70" t="s">
        <v>20</v>
      </c>
      <c r="E1157" s="103" t="s">
        <v>20</v>
      </c>
      <c r="F1157" s="72">
        <v>125</v>
      </c>
      <c r="G1157" s="73" t="s">
        <v>98</v>
      </c>
      <c r="H1157" s="71" t="s">
        <v>118</v>
      </c>
      <c r="I1157" s="73"/>
      <c r="J1157" s="75">
        <f>I1157*125</f>
        <v>0</v>
      </c>
      <c r="K1157" s="74"/>
      <c r="L1157" s="11"/>
    </row>
    <row r="1158" spans="2:12" s="9" customFormat="1" ht="13.5" customHeight="1" x14ac:dyDescent="0.2">
      <c r="B1158" s="10"/>
      <c r="C1158" s="98" t="s">
        <v>1405</v>
      </c>
      <c r="D1158" s="70" t="s">
        <v>20</v>
      </c>
      <c r="E1158" s="103" t="s">
        <v>20</v>
      </c>
      <c r="F1158" s="72">
        <v>129</v>
      </c>
      <c r="G1158" s="73" t="s">
        <v>98</v>
      </c>
      <c r="H1158" s="71" t="s">
        <v>118</v>
      </c>
      <c r="I1158" s="73"/>
      <c r="J1158" s="75">
        <f>I1158*129</f>
        <v>0</v>
      </c>
      <c r="K1158" s="74"/>
      <c r="L1158" s="11"/>
    </row>
    <row r="1159" spans="2:12" s="9" customFormat="1" ht="13.5" customHeight="1" x14ac:dyDescent="0.2">
      <c r="B1159" s="10"/>
      <c r="C1159" s="100" t="s">
        <v>1406</v>
      </c>
      <c r="D1159" s="82" t="s">
        <v>20</v>
      </c>
      <c r="E1159" s="105" t="s">
        <v>25</v>
      </c>
      <c r="F1159" s="84">
        <v>136</v>
      </c>
      <c r="G1159" s="85" t="s">
        <v>98</v>
      </c>
      <c r="H1159" s="83" t="s">
        <v>118</v>
      </c>
      <c r="I1159" s="85"/>
      <c r="J1159" s="87">
        <f t="shared" ref="J1159:J1168" si="3">I1159*136</f>
        <v>0</v>
      </c>
      <c r="K1159" s="86"/>
      <c r="L1159" s="11"/>
    </row>
    <row r="1160" spans="2:12" s="9" customFormat="1" ht="13.5" customHeight="1" x14ac:dyDescent="0.2">
      <c r="B1160" s="10"/>
      <c r="C1160" s="100" t="s">
        <v>1407</v>
      </c>
      <c r="D1160" s="82" t="s">
        <v>20</v>
      </c>
      <c r="E1160" s="105" t="s">
        <v>25</v>
      </c>
      <c r="F1160" s="84">
        <v>136</v>
      </c>
      <c r="G1160" s="85" t="s">
        <v>98</v>
      </c>
      <c r="H1160" s="83" t="s">
        <v>118</v>
      </c>
      <c r="I1160" s="85"/>
      <c r="J1160" s="87">
        <f t="shared" si="3"/>
        <v>0</v>
      </c>
      <c r="K1160" s="86"/>
      <c r="L1160" s="11"/>
    </row>
    <row r="1161" spans="2:12" s="9" customFormat="1" ht="13.5" customHeight="1" x14ac:dyDescent="0.2">
      <c r="B1161" s="10"/>
      <c r="C1161" s="100" t="s">
        <v>1408</v>
      </c>
      <c r="D1161" s="82" t="s">
        <v>20</v>
      </c>
      <c r="E1161" s="105" t="s">
        <v>25</v>
      </c>
      <c r="F1161" s="84">
        <v>136</v>
      </c>
      <c r="G1161" s="85" t="s">
        <v>98</v>
      </c>
      <c r="H1161" s="83" t="s">
        <v>118</v>
      </c>
      <c r="I1161" s="85"/>
      <c r="J1161" s="87">
        <f t="shared" si="3"/>
        <v>0</v>
      </c>
      <c r="K1161" s="86"/>
      <c r="L1161" s="11"/>
    </row>
    <row r="1162" spans="2:12" s="9" customFormat="1" ht="13.5" customHeight="1" x14ac:dyDescent="0.2">
      <c r="B1162" s="10"/>
      <c r="C1162" s="100" t="s">
        <v>1409</v>
      </c>
      <c r="D1162" s="82" t="s">
        <v>20</v>
      </c>
      <c r="E1162" s="105" t="s">
        <v>25</v>
      </c>
      <c r="F1162" s="84">
        <v>136</v>
      </c>
      <c r="G1162" s="85" t="s">
        <v>98</v>
      </c>
      <c r="H1162" s="83" t="s">
        <v>118</v>
      </c>
      <c r="I1162" s="85"/>
      <c r="J1162" s="87">
        <f t="shared" si="3"/>
        <v>0</v>
      </c>
      <c r="K1162" s="86"/>
      <c r="L1162" s="11"/>
    </row>
    <row r="1163" spans="2:12" s="9" customFormat="1" ht="13.5" customHeight="1" x14ac:dyDescent="0.2">
      <c r="B1163" s="10"/>
      <c r="C1163" s="100" t="s">
        <v>1410</v>
      </c>
      <c r="D1163" s="82" t="s">
        <v>20</v>
      </c>
      <c r="E1163" s="105" t="s">
        <v>25</v>
      </c>
      <c r="F1163" s="84">
        <v>136</v>
      </c>
      <c r="G1163" s="85" t="s">
        <v>98</v>
      </c>
      <c r="H1163" s="83" t="s">
        <v>118</v>
      </c>
      <c r="I1163" s="85"/>
      <c r="J1163" s="87">
        <f t="shared" si="3"/>
        <v>0</v>
      </c>
      <c r="K1163" s="86"/>
      <c r="L1163" s="11"/>
    </row>
    <row r="1164" spans="2:12" s="9" customFormat="1" ht="13.5" customHeight="1" x14ac:dyDescent="0.2">
      <c r="B1164" s="10"/>
      <c r="C1164" s="100" t="s">
        <v>1411</v>
      </c>
      <c r="D1164" s="82" t="s">
        <v>20</v>
      </c>
      <c r="E1164" s="105" t="s">
        <v>25</v>
      </c>
      <c r="F1164" s="84">
        <v>136</v>
      </c>
      <c r="G1164" s="85" t="s">
        <v>98</v>
      </c>
      <c r="H1164" s="83" t="s">
        <v>118</v>
      </c>
      <c r="I1164" s="85"/>
      <c r="J1164" s="87">
        <f t="shared" si="3"/>
        <v>0</v>
      </c>
      <c r="K1164" s="86"/>
      <c r="L1164" s="11"/>
    </row>
    <row r="1165" spans="2:12" s="9" customFormat="1" ht="13.5" customHeight="1" x14ac:dyDescent="0.2">
      <c r="B1165" s="10"/>
      <c r="C1165" s="100" t="s">
        <v>1412</v>
      </c>
      <c r="D1165" s="82" t="s">
        <v>20</v>
      </c>
      <c r="E1165" s="105" t="s">
        <v>25</v>
      </c>
      <c r="F1165" s="84">
        <v>136</v>
      </c>
      <c r="G1165" s="85" t="s">
        <v>98</v>
      </c>
      <c r="H1165" s="83" t="s">
        <v>118</v>
      </c>
      <c r="I1165" s="85"/>
      <c r="J1165" s="87">
        <f t="shared" si="3"/>
        <v>0</v>
      </c>
      <c r="K1165" s="86"/>
      <c r="L1165" s="11"/>
    </row>
    <row r="1166" spans="2:12" s="9" customFormat="1" ht="13.5" customHeight="1" x14ac:dyDescent="0.2">
      <c r="B1166" s="10"/>
      <c r="C1166" s="100" t="s">
        <v>1413</v>
      </c>
      <c r="D1166" s="82" t="s">
        <v>20</v>
      </c>
      <c r="E1166" s="105" t="s">
        <v>25</v>
      </c>
      <c r="F1166" s="84">
        <v>136</v>
      </c>
      <c r="G1166" s="85" t="s">
        <v>98</v>
      </c>
      <c r="H1166" s="83" t="s">
        <v>118</v>
      </c>
      <c r="I1166" s="85"/>
      <c r="J1166" s="87">
        <f t="shared" si="3"/>
        <v>0</v>
      </c>
      <c r="K1166" s="86"/>
      <c r="L1166" s="11"/>
    </row>
    <row r="1167" spans="2:12" s="9" customFormat="1" ht="13.5" customHeight="1" x14ac:dyDescent="0.2">
      <c r="B1167" s="10"/>
      <c r="C1167" s="100" t="s">
        <v>1414</v>
      </c>
      <c r="D1167" s="82" t="s">
        <v>20</v>
      </c>
      <c r="E1167" s="105" t="s">
        <v>25</v>
      </c>
      <c r="F1167" s="84">
        <v>136</v>
      </c>
      <c r="G1167" s="85" t="s">
        <v>98</v>
      </c>
      <c r="H1167" s="83" t="s">
        <v>118</v>
      </c>
      <c r="I1167" s="85"/>
      <c r="J1167" s="87">
        <f t="shared" si="3"/>
        <v>0</v>
      </c>
      <c r="K1167" s="86"/>
      <c r="L1167" s="11"/>
    </row>
    <row r="1168" spans="2:12" s="9" customFormat="1" ht="13.5" customHeight="1" x14ac:dyDescent="0.2">
      <c r="B1168" s="10"/>
      <c r="C1168" s="100" t="s">
        <v>1415</v>
      </c>
      <c r="D1168" s="82" t="s">
        <v>20</v>
      </c>
      <c r="E1168" s="105" t="s">
        <v>25</v>
      </c>
      <c r="F1168" s="84">
        <v>136</v>
      </c>
      <c r="G1168" s="85" t="s">
        <v>98</v>
      </c>
      <c r="H1168" s="83" t="s">
        <v>118</v>
      </c>
      <c r="I1168" s="85"/>
      <c r="J1168" s="87">
        <f t="shared" si="3"/>
        <v>0</v>
      </c>
      <c r="K1168" s="86"/>
      <c r="L1168" s="11"/>
    </row>
    <row r="1169" spans="2:12" s="9" customFormat="1" ht="13.5" customHeight="1" x14ac:dyDescent="0.2">
      <c r="B1169" s="10"/>
      <c r="C1169" s="98" t="s">
        <v>1416</v>
      </c>
      <c r="D1169" s="70" t="s">
        <v>20</v>
      </c>
      <c r="E1169" s="103" t="s">
        <v>20</v>
      </c>
      <c r="F1169" s="72">
        <v>139</v>
      </c>
      <c r="G1169" s="73" t="s">
        <v>98</v>
      </c>
      <c r="H1169" s="71" t="s">
        <v>118</v>
      </c>
      <c r="I1169" s="73"/>
      <c r="J1169" s="75">
        <f>I1169*139</f>
        <v>0</v>
      </c>
      <c r="K1169" s="74"/>
      <c r="L1169" s="11"/>
    </row>
    <row r="1170" spans="2:12" s="9" customFormat="1" ht="13.5" customHeight="1" x14ac:dyDescent="0.2">
      <c r="B1170" s="10"/>
      <c r="C1170" s="98" t="s">
        <v>1417</v>
      </c>
      <c r="D1170" s="70" t="s">
        <v>20</v>
      </c>
      <c r="E1170" s="103" t="s">
        <v>20</v>
      </c>
      <c r="F1170" s="72">
        <v>139</v>
      </c>
      <c r="G1170" s="73" t="s">
        <v>98</v>
      </c>
      <c r="H1170" s="71" t="s">
        <v>118</v>
      </c>
      <c r="I1170" s="73"/>
      <c r="J1170" s="75">
        <f>I1170*139</f>
        <v>0</v>
      </c>
      <c r="K1170" s="74"/>
      <c r="L1170" s="11"/>
    </row>
    <row r="1171" spans="2:12" s="9" customFormat="1" ht="13.5" customHeight="1" x14ac:dyDescent="0.2">
      <c r="B1171" s="10"/>
      <c r="C1171" s="98" t="s">
        <v>1418</v>
      </c>
      <c r="D1171" s="70" t="s">
        <v>20</v>
      </c>
      <c r="E1171" s="103" t="s">
        <v>20</v>
      </c>
      <c r="F1171" s="72">
        <v>139</v>
      </c>
      <c r="G1171" s="73" t="s">
        <v>98</v>
      </c>
      <c r="H1171" s="71" t="s">
        <v>118</v>
      </c>
      <c r="I1171" s="73"/>
      <c r="J1171" s="75">
        <f>I1171*139</f>
        <v>0</v>
      </c>
      <c r="K1171" s="74"/>
      <c r="L1171" s="11"/>
    </row>
    <row r="1172" spans="2:12" s="9" customFormat="1" ht="13.5" customHeight="1" x14ac:dyDescent="0.2">
      <c r="B1172" s="10"/>
      <c r="C1172" s="99" t="s">
        <v>1419</v>
      </c>
      <c r="D1172" s="76" t="s">
        <v>20</v>
      </c>
      <c r="E1172" s="104" t="s">
        <v>20</v>
      </c>
      <c r="F1172" s="78">
        <v>149</v>
      </c>
      <c r="G1172" s="79" t="s">
        <v>98</v>
      </c>
      <c r="H1172" s="77" t="s">
        <v>118</v>
      </c>
      <c r="I1172" s="79"/>
      <c r="J1172" s="81">
        <f>I1172*149</f>
        <v>0</v>
      </c>
      <c r="K1172" s="80"/>
      <c r="L1172" s="11"/>
    </row>
    <row r="1173" spans="2:12" s="9" customFormat="1" ht="13.5" customHeight="1" x14ac:dyDescent="0.2">
      <c r="B1173" s="10"/>
      <c r="C1173" s="100" t="s">
        <v>1420</v>
      </c>
      <c r="D1173" s="82" t="s">
        <v>20</v>
      </c>
      <c r="E1173" s="105" t="s">
        <v>25</v>
      </c>
      <c r="F1173" s="84">
        <v>150</v>
      </c>
      <c r="G1173" s="85" t="s">
        <v>98</v>
      </c>
      <c r="H1173" s="83" t="s">
        <v>118</v>
      </c>
      <c r="I1173" s="85"/>
      <c r="J1173" s="87">
        <f>I1173*150</f>
        <v>0</v>
      </c>
      <c r="K1173" s="86"/>
      <c r="L1173" s="11"/>
    </row>
    <row r="1174" spans="2:12" s="9" customFormat="1" ht="13.5" customHeight="1" x14ac:dyDescent="0.2">
      <c r="B1174" s="10"/>
      <c r="C1174" s="98" t="s">
        <v>1421</v>
      </c>
      <c r="D1174" s="70" t="s">
        <v>20</v>
      </c>
      <c r="E1174" s="103" t="s">
        <v>20</v>
      </c>
      <c r="F1174" s="72">
        <v>165</v>
      </c>
      <c r="G1174" s="73" t="s">
        <v>98</v>
      </c>
      <c r="H1174" s="71" t="s">
        <v>118</v>
      </c>
      <c r="I1174" s="73"/>
      <c r="J1174" s="75">
        <f>I1174*165</f>
        <v>0</v>
      </c>
      <c r="K1174" s="74"/>
      <c r="L1174" s="11"/>
    </row>
    <row r="1175" spans="2:12" s="9" customFormat="1" ht="13.5" customHeight="1" x14ac:dyDescent="0.2">
      <c r="B1175" s="10"/>
      <c r="C1175" s="98" t="s">
        <v>1422</v>
      </c>
      <c r="D1175" s="70" t="s">
        <v>20</v>
      </c>
      <c r="E1175" s="103" t="s">
        <v>20</v>
      </c>
      <c r="F1175" s="72">
        <v>165</v>
      </c>
      <c r="G1175" s="73" t="s">
        <v>98</v>
      </c>
      <c r="H1175" s="71" t="s">
        <v>118</v>
      </c>
      <c r="I1175" s="73"/>
      <c r="J1175" s="75">
        <f>I1175*165</f>
        <v>0</v>
      </c>
      <c r="K1175" s="74"/>
      <c r="L1175" s="11"/>
    </row>
    <row r="1176" spans="2:12" s="9" customFormat="1" ht="13.5" customHeight="1" x14ac:dyDescent="0.2">
      <c r="B1176" s="10"/>
      <c r="C1176" s="98" t="s">
        <v>1423</v>
      </c>
      <c r="D1176" s="70" t="s">
        <v>20</v>
      </c>
      <c r="E1176" s="103" t="s">
        <v>20</v>
      </c>
      <c r="F1176" s="72">
        <v>171</v>
      </c>
      <c r="G1176" s="73" t="s">
        <v>98</v>
      </c>
      <c r="H1176" s="71" t="s">
        <v>118</v>
      </c>
      <c r="I1176" s="73"/>
      <c r="J1176" s="75">
        <f>I1176*171</f>
        <v>0</v>
      </c>
      <c r="K1176" s="74"/>
      <c r="L1176" s="11"/>
    </row>
    <row r="1177" spans="2:12" s="9" customFormat="1" ht="13.5" customHeight="1" x14ac:dyDescent="0.2">
      <c r="B1177" s="10"/>
      <c r="C1177" s="98" t="s">
        <v>1424</v>
      </c>
      <c r="D1177" s="70" t="s">
        <v>20</v>
      </c>
      <c r="E1177" s="103" t="s">
        <v>20</v>
      </c>
      <c r="F1177" s="72">
        <v>177</v>
      </c>
      <c r="G1177" s="73" t="s">
        <v>98</v>
      </c>
      <c r="H1177" s="71" t="s">
        <v>118</v>
      </c>
      <c r="I1177" s="73"/>
      <c r="J1177" s="75">
        <f>I1177*177</f>
        <v>0</v>
      </c>
      <c r="K1177" s="74"/>
      <c r="L1177" s="11"/>
    </row>
    <row r="1178" spans="2:12" s="9" customFormat="1" ht="13.5" customHeight="1" x14ac:dyDescent="0.2">
      <c r="B1178" s="10"/>
      <c r="C1178" s="98" t="s">
        <v>1425</v>
      </c>
      <c r="D1178" s="70" t="s">
        <v>20</v>
      </c>
      <c r="E1178" s="103" t="s">
        <v>20</v>
      </c>
      <c r="F1178" s="72">
        <v>189</v>
      </c>
      <c r="G1178" s="73" t="s">
        <v>98</v>
      </c>
      <c r="H1178" s="71" t="s">
        <v>118</v>
      </c>
      <c r="I1178" s="73"/>
      <c r="J1178" s="75">
        <f t="shared" ref="J1178:J1183" si="4">I1178*189</f>
        <v>0</v>
      </c>
      <c r="K1178" s="74"/>
      <c r="L1178" s="11"/>
    </row>
    <row r="1179" spans="2:12" s="9" customFormat="1" ht="13.5" customHeight="1" x14ac:dyDescent="0.2">
      <c r="B1179" s="10"/>
      <c r="C1179" s="98" t="s">
        <v>1426</v>
      </c>
      <c r="D1179" s="70" t="s">
        <v>20</v>
      </c>
      <c r="E1179" s="103" t="s">
        <v>20</v>
      </c>
      <c r="F1179" s="72">
        <v>189</v>
      </c>
      <c r="G1179" s="73" t="s">
        <v>98</v>
      </c>
      <c r="H1179" s="71" t="s">
        <v>118</v>
      </c>
      <c r="I1179" s="73"/>
      <c r="J1179" s="75">
        <f t="shared" si="4"/>
        <v>0</v>
      </c>
      <c r="K1179" s="74"/>
      <c r="L1179" s="11"/>
    </row>
    <row r="1180" spans="2:12" s="9" customFormat="1" ht="13.5" customHeight="1" x14ac:dyDescent="0.2">
      <c r="B1180" s="10"/>
      <c r="C1180" s="98" t="s">
        <v>1427</v>
      </c>
      <c r="D1180" s="70" t="s">
        <v>20</v>
      </c>
      <c r="E1180" s="103" t="s">
        <v>1428</v>
      </c>
      <c r="F1180" s="72">
        <v>189</v>
      </c>
      <c r="G1180" s="73" t="s">
        <v>98</v>
      </c>
      <c r="H1180" s="71" t="s">
        <v>118</v>
      </c>
      <c r="I1180" s="73"/>
      <c r="J1180" s="75">
        <f t="shared" si="4"/>
        <v>0</v>
      </c>
      <c r="K1180" s="74"/>
      <c r="L1180" s="11"/>
    </row>
    <row r="1181" spans="2:12" s="9" customFormat="1" ht="13.5" customHeight="1" x14ac:dyDescent="0.2">
      <c r="B1181" s="10"/>
      <c r="C1181" s="98" t="s">
        <v>1429</v>
      </c>
      <c r="D1181" s="70" t="s">
        <v>20</v>
      </c>
      <c r="E1181" s="103" t="s">
        <v>20</v>
      </c>
      <c r="F1181" s="72">
        <v>189</v>
      </c>
      <c r="G1181" s="73" t="s">
        <v>98</v>
      </c>
      <c r="H1181" s="71" t="s">
        <v>118</v>
      </c>
      <c r="I1181" s="73"/>
      <c r="J1181" s="75">
        <f t="shared" si="4"/>
        <v>0</v>
      </c>
      <c r="K1181" s="74"/>
      <c r="L1181" s="11"/>
    </row>
    <row r="1182" spans="2:12" s="9" customFormat="1" ht="13.5" customHeight="1" x14ac:dyDescent="0.2">
      <c r="B1182" s="10"/>
      <c r="C1182" s="98" t="s">
        <v>1430</v>
      </c>
      <c r="D1182" s="70" t="s">
        <v>20</v>
      </c>
      <c r="E1182" s="103" t="s">
        <v>20</v>
      </c>
      <c r="F1182" s="72">
        <v>189</v>
      </c>
      <c r="G1182" s="73" t="s">
        <v>98</v>
      </c>
      <c r="H1182" s="71" t="s">
        <v>118</v>
      </c>
      <c r="I1182" s="73"/>
      <c r="J1182" s="75">
        <f t="shared" si="4"/>
        <v>0</v>
      </c>
      <c r="K1182" s="74"/>
      <c r="L1182" s="11"/>
    </row>
    <row r="1183" spans="2:12" s="9" customFormat="1" ht="13.5" customHeight="1" x14ac:dyDescent="0.2">
      <c r="B1183" s="10"/>
      <c r="C1183" s="98" t="s">
        <v>1431</v>
      </c>
      <c r="D1183" s="70" t="s">
        <v>20</v>
      </c>
      <c r="E1183" s="103" t="s">
        <v>20</v>
      </c>
      <c r="F1183" s="72">
        <v>189</v>
      </c>
      <c r="G1183" s="73" t="s">
        <v>98</v>
      </c>
      <c r="H1183" s="71" t="s">
        <v>118</v>
      </c>
      <c r="I1183" s="73"/>
      <c r="J1183" s="75">
        <f t="shared" si="4"/>
        <v>0</v>
      </c>
      <c r="K1183" s="74"/>
      <c r="L1183" s="11"/>
    </row>
    <row r="1184" spans="2:12" s="9" customFormat="1" ht="13.5" customHeight="1" x14ac:dyDescent="0.2">
      <c r="B1184" s="10"/>
      <c r="C1184" s="98" t="s">
        <v>1432</v>
      </c>
      <c r="D1184" s="70" t="s">
        <v>20</v>
      </c>
      <c r="E1184" s="103" t="s">
        <v>20</v>
      </c>
      <c r="F1184" s="72">
        <v>197</v>
      </c>
      <c r="G1184" s="73" t="s">
        <v>98</v>
      </c>
      <c r="H1184" s="71" t="s">
        <v>118</v>
      </c>
      <c r="I1184" s="73"/>
      <c r="J1184" s="75">
        <f>I1184*197</f>
        <v>0</v>
      </c>
      <c r="K1184" s="74"/>
      <c r="L1184" s="11"/>
    </row>
    <row r="1185" spans="2:12" s="9" customFormat="1" ht="13.5" customHeight="1" x14ac:dyDescent="0.2">
      <c r="B1185" s="10"/>
      <c r="C1185" s="98" t="s">
        <v>1433</v>
      </c>
      <c r="D1185" s="70" t="s">
        <v>20</v>
      </c>
      <c r="E1185" s="103" t="s">
        <v>1402</v>
      </c>
      <c r="F1185" s="72">
        <v>197</v>
      </c>
      <c r="G1185" s="73" t="s">
        <v>98</v>
      </c>
      <c r="H1185" s="71" t="s">
        <v>118</v>
      </c>
      <c r="I1185" s="73"/>
      <c r="J1185" s="75">
        <f>I1185*197</f>
        <v>0</v>
      </c>
      <c r="K1185" s="74"/>
      <c r="L1185" s="11"/>
    </row>
    <row r="1186" spans="2:12" s="9" customFormat="1" ht="13.5" customHeight="1" x14ac:dyDescent="0.2">
      <c r="B1186" s="10"/>
      <c r="C1186" s="98" t="s">
        <v>1434</v>
      </c>
      <c r="D1186" s="70" t="s">
        <v>20</v>
      </c>
      <c r="E1186" s="103" t="s">
        <v>20</v>
      </c>
      <c r="F1186" s="72">
        <v>199</v>
      </c>
      <c r="G1186" s="73" t="s">
        <v>98</v>
      </c>
      <c r="H1186" s="71" t="s">
        <v>118</v>
      </c>
      <c r="I1186" s="73"/>
      <c r="J1186" s="75">
        <f>I1186*199</f>
        <v>0</v>
      </c>
      <c r="K1186" s="74"/>
      <c r="L1186" s="11"/>
    </row>
    <row r="1187" spans="2:12" s="9" customFormat="1" ht="13.5" customHeight="1" x14ac:dyDescent="0.2">
      <c r="B1187" s="10"/>
      <c r="C1187" s="98" t="s">
        <v>1435</v>
      </c>
      <c r="D1187" s="70" t="s">
        <v>20</v>
      </c>
      <c r="E1187" s="103" t="s">
        <v>20</v>
      </c>
      <c r="F1187" s="72">
        <v>199</v>
      </c>
      <c r="G1187" s="73" t="s">
        <v>98</v>
      </c>
      <c r="H1187" s="71" t="s">
        <v>118</v>
      </c>
      <c r="I1187" s="73"/>
      <c r="J1187" s="75">
        <f>I1187*199</f>
        <v>0</v>
      </c>
      <c r="K1187" s="74"/>
      <c r="L1187" s="11"/>
    </row>
    <row r="1188" spans="2:12" s="9" customFormat="1" ht="13.5" customHeight="1" x14ac:dyDescent="0.2">
      <c r="B1188" s="10"/>
      <c r="C1188" s="98" t="s">
        <v>1436</v>
      </c>
      <c r="D1188" s="70" t="s">
        <v>20</v>
      </c>
      <c r="E1188" s="103" t="s">
        <v>20</v>
      </c>
      <c r="F1188" s="72">
        <v>199</v>
      </c>
      <c r="G1188" s="73" t="s">
        <v>98</v>
      </c>
      <c r="H1188" s="71" t="s">
        <v>118</v>
      </c>
      <c r="I1188" s="73"/>
      <c r="J1188" s="75">
        <f>I1188*199</f>
        <v>0</v>
      </c>
      <c r="K1188" s="74"/>
      <c r="L1188" s="11"/>
    </row>
    <row r="1189" spans="2:12" s="9" customFormat="1" ht="13.5" customHeight="1" x14ac:dyDescent="0.2">
      <c r="B1189" s="10"/>
      <c r="C1189" s="98" t="s">
        <v>1437</v>
      </c>
      <c r="D1189" s="70" t="s">
        <v>20</v>
      </c>
      <c r="E1189" s="103" t="s">
        <v>21</v>
      </c>
      <c r="F1189" s="72">
        <v>205</v>
      </c>
      <c r="G1189" s="73" t="s">
        <v>98</v>
      </c>
      <c r="H1189" s="71" t="s">
        <v>118</v>
      </c>
      <c r="I1189" s="73"/>
      <c r="J1189" s="75">
        <f>I1189*205</f>
        <v>0</v>
      </c>
      <c r="K1189" s="74"/>
      <c r="L1189" s="11"/>
    </row>
    <row r="1190" spans="2:12" s="9" customFormat="1" ht="13.5" customHeight="1" x14ac:dyDescent="0.2">
      <c r="B1190" s="10"/>
      <c r="C1190" s="98" t="s">
        <v>1438</v>
      </c>
      <c r="D1190" s="70" t="s">
        <v>20</v>
      </c>
      <c r="E1190" s="103" t="s">
        <v>1402</v>
      </c>
      <c r="F1190" s="72">
        <v>216</v>
      </c>
      <c r="G1190" s="73" t="s">
        <v>98</v>
      </c>
      <c r="H1190" s="71" t="s">
        <v>118</v>
      </c>
      <c r="I1190" s="73"/>
      <c r="J1190" s="75">
        <f>I1190*216</f>
        <v>0</v>
      </c>
      <c r="K1190" s="74"/>
      <c r="L1190" s="11"/>
    </row>
    <row r="1191" spans="2:12" s="9" customFormat="1" ht="13.5" customHeight="1" x14ac:dyDescent="0.2">
      <c r="B1191" s="10"/>
      <c r="C1191" s="98" t="s">
        <v>1439</v>
      </c>
      <c r="D1191" s="70" t="s">
        <v>20</v>
      </c>
      <c r="E1191" s="103" t="s">
        <v>20</v>
      </c>
      <c r="F1191" s="72">
        <v>219</v>
      </c>
      <c r="G1191" s="73" t="s">
        <v>98</v>
      </c>
      <c r="H1191" s="71" t="s">
        <v>118</v>
      </c>
      <c r="I1191" s="73"/>
      <c r="J1191" s="75">
        <f>I1191*219</f>
        <v>0</v>
      </c>
      <c r="K1191" s="74"/>
      <c r="L1191" s="11"/>
    </row>
    <row r="1192" spans="2:12" s="9" customFormat="1" ht="13.5" customHeight="1" x14ac:dyDescent="0.2">
      <c r="B1192" s="10"/>
      <c r="C1192" s="98" t="s">
        <v>1440</v>
      </c>
      <c r="D1192" s="70" t="s">
        <v>20</v>
      </c>
      <c r="E1192" s="103" t="s">
        <v>20</v>
      </c>
      <c r="F1192" s="72">
        <v>235</v>
      </c>
      <c r="G1192" s="73" t="s">
        <v>98</v>
      </c>
      <c r="H1192" s="71" t="s">
        <v>118</v>
      </c>
      <c r="I1192" s="73"/>
      <c r="J1192" s="75">
        <f>I1192*235</f>
        <v>0</v>
      </c>
      <c r="K1192" s="74"/>
      <c r="L1192" s="11"/>
    </row>
    <row r="1193" spans="2:12" s="9" customFormat="1" ht="13.5" customHeight="1" x14ac:dyDescent="0.2">
      <c r="B1193" s="10"/>
      <c r="C1193" s="98" t="s">
        <v>1441</v>
      </c>
      <c r="D1193" s="70" t="s">
        <v>20</v>
      </c>
      <c r="E1193" s="103" t="s">
        <v>20</v>
      </c>
      <c r="F1193" s="72">
        <v>239</v>
      </c>
      <c r="G1193" s="73" t="s">
        <v>98</v>
      </c>
      <c r="H1193" s="71" t="s">
        <v>118</v>
      </c>
      <c r="I1193" s="73"/>
      <c r="J1193" s="75">
        <f>I1193*239</f>
        <v>0</v>
      </c>
      <c r="K1193" s="74"/>
      <c r="L1193" s="11"/>
    </row>
    <row r="1194" spans="2:12" s="9" customFormat="1" ht="13.5" customHeight="1" x14ac:dyDescent="0.2">
      <c r="B1194" s="10"/>
      <c r="C1194" s="98" t="s">
        <v>1442</v>
      </c>
      <c r="D1194" s="70" t="s">
        <v>20</v>
      </c>
      <c r="E1194" s="103" t="s">
        <v>20</v>
      </c>
      <c r="F1194" s="72">
        <v>240</v>
      </c>
      <c r="G1194" s="73" t="s">
        <v>98</v>
      </c>
      <c r="H1194" s="71" t="s">
        <v>118</v>
      </c>
      <c r="I1194" s="73"/>
      <c r="J1194" s="75">
        <f>I1194*240</f>
        <v>0</v>
      </c>
      <c r="K1194" s="74"/>
      <c r="L1194" s="11"/>
    </row>
    <row r="1195" spans="2:12" s="9" customFormat="1" ht="13.5" customHeight="1" x14ac:dyDescent="0.2">
      <c r="B1195" s="10"/>
      <c r="C1195" s="98" t="s">
        <v>1443</v>
      </c>
      <c r="D1195" s="70" t="s">
        <v>20</v>
      </c>
      <c r="E1195" s="103" t="s">
        <v>20</v>
      </c>
      <c r="F1195" s="72">
        <v>259</v>
      </c>
      <c r="G1195" s="73" t="s">
        <v>98</v>
      </c>
      <c r="H1195" s="71" t="s">
        <v>118</v>
      </c>
      <c r="I1195" s="73"/>
      <c r="J1195" s="75">
        <f>I1195*259</f>
        <v>0</v>
      </c>
      <c r="K1195" s="74"/>
      <c r="L1195" s="11"/>
    </row>
    <row r="1196" spans="2:12" s="9" customFormat="1" ht="13.5" customHeight="1" x14ac:dyDescent="0.2">
      <c r="B1196" s="10"/>
      <c r="C1196" s="98" t="s">
        <v>1444</v>
      </c>
      <c r="D1196" s="70" t="s">
        <v>20</v>
      </c>
      <c r="E1196" s="103" t="s">
        <v>20</v>
      </c>
      <c r="F1196" s="72">
        <v>259</v>
      </c>
      <c r="G1196" s="73" t="s">
        <v>98</v>
      </c>
      <c r="H1196" s="71" t="s">
        <v>118</v>
      </c>
      <c r="I1196" s="73"/>
      <c r="J1196" s="75">
        <f>I1196*259</f>
        <v>0</v>
      </c>
      <c r="K1196" s="74"/>
      <c r="L1196" s="11"/>
    </row>
    <row r="1197" spans="2:12" s="9" customFormat="1" ht="13.5" customHeight="1" x14ac:dyDescent="0.2">
      <c r="B1197" s="10"/>
      <c r="C1197" s="98" t="s">
        <v>1445</v>
      </c>
      <c r="D1197" s="70" t="s">
        <v>20</v>
      </c>
      <c r="E1197" s="103" t="s">
        <v>20</v>
      </c>
      <c r="F1197" s="72">
        <v>259</v>
      </c>
      <c r="G1197" s="73" t="s">
        <v>98</v>
      </c>
      <c r="H1197" s="71" t="s">
        <v>118</v>
      </c>
      <c r="I1197" s="73"/>
      <c r="J1197" s="75">
        <f>I1197*259</f>
        <v>0</v>
      </c>
      <c r="K1197" s="74"/>
      <c r="L1197" s="11"/>
    </row>
    <row r="1198" spans="2:12" s="9" customFormat="1" ht="13.5" customHeight="1" x14ac:dyDescent="0.2">
      <c r="B1198" s="10"/>
      <c r="C1198" s="98" t="s">
        <v>1446</v>
      </c>
      <c r="D1198" s="70" t="s">
        <v>20</v>
      </c>
      <c r="E1198" s="103" t="s">
        <v>21</v>
      </c>
      <c r="F1198" s="72">
        <v>305</v>
      </c>
      <c r="G1198" s="73" t="s">
        <v>98</v>
      </c>
      <c r="H1198" s="71" t="s">
        <v>118</v>
      </c>
      <c r="I1198" s="73"/>
      <c r="J1198" s="75">
        <f>I1198*305</f>
        <v>0</v>
      </c>
      <c r="K1198" s="74"/>
      <c r="L1198" s="11"/>
    </row>
    <row r="1199" spans="2:12" s="9" customFormat="1" ht="13.5" customHeight="1" x14ac:dyDescent="0.2">
      <c r="B1199" s="10"/>
      <c r="C1199" s="99" t="s">
        <v>1447</v>
      </c>
      <c r="D1199" s="76" t="s">
        <v>20</v>
      </c>
      <c r="E1199" s="104" t="s">
        <v>20</v>
      </c>
      <c r="F1199" s="78">
        <v>320</v>
      </c>
      <c r="G1199" s="79" t="s">
        <v>98</v>
      </c>
      <c r="H1199" s="77" t="s">
        <v>118</v>
      </c>
      <c r="I1199" s="79"/>
      <c r="J1199" s="81">
        <f>I1199*320</f>
        <v>0</v>
      </c>
      <c r="K1199" s="80"/>
      <c r="L1199" s="11"/>
    </row>
    <row r="1200" spans="2:12" s="1" customFormat="1" x14ac:dyDescent="0.2">
      <c r="B1200" s="2"/>
      <c r="C1200" s="2"/>
      <c r="D1200" s="2"/>
      <c r="E1200" s="2"/>
      <c r="F1200" s="2"/>
      <c r="G1200" s="2"/>
      <c r="H1200" s="2"/>
      <c r="I1200" s="2"/>
      <c r="J1200" s="92">
        <f>SUM(J17:J1199)</f>
        <v>0</v>
      </c>
      <c r="K1200" s="2"/>
      <c r="L1200" s="2"/>
    </row>
    <row r="1201" spans="2:12" s="1" customFormat="1" ht="24" customHeight="1" x14ac:dyDescent="0.2">
      <c r="B1201" s="2"/>
      <c r="C1201" s="93"/>
      <c r="D1201" s="93"/>
      <c r="E1201" s="109" t="s">
        <v>1448</v>
      </c>
      <c r="F1201" s="109"/>
      <c r="G1201" s="109"/>
      <c r="H1201" s="93"/>
      <c r="I1201" s="93"/>
      <c r="J1201" s="93"/>
      <c r="K1201" s="93"/>
      <c r="L1201" s="2"/>
    </row>
    <row r="1202" spans="2:12" s="1" customFormat="1" ht="15" customHeight="1" x14ac:dyDescent="0.2">
      <c r="B1202" s="2"/>
      <c r="C1202" s="12"/>
      <c r="D1202" s="13"/>
      <c r="E1202" s="110"/>
      <c r="F1202" s="110"/>
      <c r="G1202" s="110"/>
      <c r="H1202" s="13"/>
      <c r="I1202" s="13"/>
      <c r="J1202" s="13"/>
      <c r="K1202" s="14"/>
      <c r="L1202" s="15"/>
    </row>
    <row r="1203" spans="2:12" s="1" customFormat="1" ht="15.75" x14ac:dyDescent="0.25">
      <c r="B1203" s="2"/>
      <c r="C1203" s="16" t="s">
        <v>1449</v>
      </c>
      <c r="D1203" s="2"/>
      <c r="E1203" s="2"/>
      <c r="F1203" s="2"/>
      <c r="G1203" s="2"/>
      <c r="H1203" s="2"/>
      <c r="I1203" s="2"/>
      <c r="J1203" s="2"/>
      <c r="K1203" s="17"/>
      <c r="L1203" s="18"/>
    </row>
    <row r="1204" spans="2:12" s="1" customFormat="1" ht="15.75" x14ac:dyDescent="0.25">
      <c r="B1204" s="2"/>
      <c r="C1204" s="16" t="s">
        <v>1450</v>
      </c>
      <c r="D1204" s="2"/>
      <c r="E1204" s="2"/>
      <c r="F1204" s="2"/>
      <c r="G1204" s="2"/>
      <c r="H1204" s="2"/>
      <c r="I1204" s="2"/>
      <c r="J1204" s="2"/>
      <c r="K1204" s="17"/>
      <c r="L1204" s="18"/>
    </row>
    <row r="1205" spans="2:12" s="1" customFormat="1" ht="15.75" x14ac:dyDescent="0.25">
      <c r="B1205" s="2"/>
      <c r="C1205" s="16" t="s">
        <v>1451</v>
      </c>
      <c r="D1205" s="2"/>
      <c r="E1205" s="2"/>
      <c r="F1205" s="2"/>
      <c r="G1205" s="2"/>
      <c r="H1205" s="2"/>
      <c r="I1205" s="2"/>
      <c r="J1205" s="2"/>
      <c r="K1205" s="17"/>
      <c r="L1205" s="18"/>
    </row>
    <row r="1206" spans="2:12" s="1" customFormat="1" x14ac:dyDescent="0.2">
      <c r="B1206" s="2"/>
      <c r="C1206" s="19"/>
      <c r="D1206" s="2"/>
      <c r="E1206" s="2"/>
      <c r="F1206" s="2"/>
      <c r="G1206" s="2"/>
      <c r="H1206" s="2"/>
      <c r="I1206" s="2"/>
      <c r="J1206" s="2"/>
      <c r="K1206" s="17"/>
      <c r="L1206" s="18"/>
    </row>
    <row r="1207" spans="2:12" s="1" customFormat="1" ht="15" x14ac:dyDescent="0.25">
      <c r="B1207" s="2"/>
      <c r="C1207" s="94" t="s">
        <v>1452</v>
      </c>
      <c r="D1207" s="95"/>
      <c r="E1207" s="95"/>
      <c r="F1207" s="95"/>
      <c r="G1207" s="95"/>
      <c r="H1207" s="95"/>
      <c r="I1207" s="95"/>
      <c r="J1207" s="95"/>
      <c r="K1207" s="96"/>
      <c r="L1207" s="18"/>
    </row>
    <row r="1208" spans="2:12" s="1" customFormat="1" ht="15" x14ac:dyDescent="0.25">
      <c r="B1208" s="2"/>
      <c r="C1208" s="94" t="s">
        <v>1453</v>
      </c>
      <c r="D1208" s="95"/>
      <c r="E1208" s="95"/>
      <c r="F1208" s="95"/>
      <c r="G1208" s="95"/>
      <c r="H1208" s="95"/>
      <c r="I1208" s="95"/>
      <c r="J1208" s="95"/>
      <c r="K1208" s="96"/>
      <c r="L1208" s="18"/>
    </row>
    <row r="1209" spans="2:12" s="1" customFormat="1" ht="15" x14ac:dyDescent="0.25">
      <c r="B1209" s="2"/>
      <c r="C1209" s="94" t="s">
        <v>1454</v>
      </c>
      <c r="D1209" s="95"/>
      <c r="E1209" s="95"/>
      <c r="F1209" s="95"/>
      <c r="G1209" s="95"/>
      <c r="H1209" s="95"/>
      <c r="I1209" s="95"/>
      <c r="J1209" s="95"/>
      <c r="K1209" s="96"/>
      <c r="L1209" s="18"/>
    </row>
    <row r="1210" spans="2:12" s="1" customFormat="1" ht="15" x14ac:dyDescent="0.25">
      <c r="B1210" s="2"/>
      <c r="C1210" s="94" t="s">
        <v>1455</v>
      </c>
      <c r="D1210" s="95"/>
      <c r="E1210" s="95"/>
      <c r="F1210" s="95"/>
      <c r="G1210" s="95"/>
      <c r="H1210" s="95"/>
      <c r="I1210" s="95"/>
      <c r="J1210" s="95"/>
      <c r="K1210" s="96"/>
      <c r="L1210" s="18"/>
    </row>
    <row r="1211" spans="2:12" s="1" customFormat="1" ht="15" x14ac:dyDescent="0.25">
      <c r="B1211" s="2"/>
      <c r="C1211" s="94" t="s">
        <v>1456</v>
      </c>
      <c r="D1211" s="95"/>
      <c r="E1211" s="95"/>
      <c r="F1211" s="95"/>
      <c r="G1211" s="95"/>
      <c r="H1211" s="95"/>
      <c r="I1211" s="95"/>
      <c r="J1211" s="95"/>
      <c r="K1211" s="96"/>
      <c r="L1211" s="18"/>
    </row>
    <row r="1212" spans="2:12" s="1" customFormat="1" ht="15" x14ac:dyDescent="0.25">
      <c r="B1212" s="2"/>
      <c r="C1212" s="94" t="s">
        <v>1457</v>
      </c>
      <c r="D1212" s="95"/>
      <c r="E1212" s="95"/>
      <c r="F1212" s="95"/>
      <c r="G1212" s="95"/>
      <c r="H1212" s="95"/>
      <c r="I1212" s="95"/>
      <c r="J1212" s="95"/>
      <c r="K1212" s="96"/>
      <c r="L1212" s="18"/>
    </row>
    <row r="1213" spans="2:12" s="1" customFormat="1" x14ac:dyDescent="0.2">
      <c r="B1213" s="2"/>
      <c r="C1213" s="18"/>
      <c r="D1213" s="2"/>
      <c r="E1213" s="2"/>
      <c r="F1213" s="2"/>
      <c r="G1213" s="2"/>
      <c r="H1213" s="2"/>
      <c r="I1213" s="2"/>
      <c r="J1213" s="2"/>
      <c r="K1213" s="17"/>
      <c r="L1213" s="18"/>
    </row>
    <row r="1214" spans="2:12" s="1" customFormat="1" ht="15.75" x14ac:dyDescent="0.25">
      <c r="B1214" s="2"/>
      <c r="C1214" s="20" t="s">
        <v>1458</v>
      </c>
      <c r="D1214" s="2"/>
      <c r="E1214" s="2"/>
      <c r="F1214" s="2"/>
      <c r="G1214" s="2"/>
      <c r="H1214" s="2"/>
      <c r="I1214" s="2"/>
      <c r="J1214" s="2"/>
      <c r="K1214" s="17"/>
      <c r="L1214" s="18"/>
    </row>
    <row r="1215" spans="2:12" s="1" customFormat="1" ht="15.75" x14ac:dyDescent="0.25">
      <c r="B1215" s="2"/>
      <c r="C1215" s="20" t="s">
        <v>1459</v>
      </c>
      <c r="D1215" s="2"/>
      <c r="E1215" s="2"/>
      <c r="F1215" s="2"/>
      <c r="G1215" s="2"/>
      <c r="H1215" s="2"/>
      <c r="I1215" s="2"/>
      <c r="J1215" s="2"/>
      <c r="K1215" s="17"/>
      <c r="L1215" s="18"/>
    </row>
    <row r="1216" spans="2:12" s="1" customFormat="1" x14ac:dyDescent="0.2">
      <c r="B1216" s="2"/>
      <c r="C1216" s="21"/>
      <c r="D1216" s="22"/>
      <c r="E1216" s="22"/>
      <c r="F1216" s="22"/>
      <c r="G1216" s="22"/>
      <c r="H1216" s="22"/>
      <c r="I1216" s="22"/>
      <c r="J1216" s="22"/>
      <c r="K1216" s="23"/>
      <c r="L1216" s="15"/>
    </row>
    <row r="1217" spans="2:12" s="1" customFormat="1" x14ac:dyDescent="0.2">
      <c r="B1217" s="15"/>
      <c r="C1217" s="13"/>
      <c r="D1217" s="13"/>
      <c r="E1217" s="13"/>
      <c r="F1217" s="13"/>
      <c r="G1217" s="13"/>
      <c r="H1217" s="13"/>
      <c r="I1217" s="13"/>
      <c r="J1217" s="13"/>
      <c r="K1217" s="13"/>
      <c r="L1217" s="15"/>
    </row>
    <row r="1218" spans="2:12" s="1" customFormat="1" x14ac:dyDescent="0.2">
      <c r="B1218" s="2"/>
      <c r="C1218" s="2"/>
      <c r="D1218" s="2"/>
      <c r="E1218" s="2"/>
      <c r="F1218" s="2"/>
      <c r="G1218" s="2"/>
      <c r="H1218" s="2"/>
      <c r="I1218" s="2"/>
      <c r="J1218" s="2"/>
      <c r="K1218" s="2"/>
      <c r="L1218" s="2"/>
    </row>
    <row r="1219" spans="2:12" s="1" customFormat="1" ht="18.95" customHeight="1" x14ac:dyDescent="0.2">
      <c r="B1219" s="2"/>
      <c r="C1219" s="93"/>
      <c r="D1219" s="93"/>
      <c r="E1219" s="109" t="s">
        <v>1460</v>
      </c>
      <c r="F1219" s="109"/>
      <c r="G1219" s="109"/>
      <c r="H1219" s="93"/>
      <c r="I1219" s="93"/>
      <c r="J1219" s="93"/>
      <c r="K1219" s="93"/>
      <c r="L1219" s="2"/>
    </row>
    <row r="1220" spans="2:12" s="1" customFormat="1" ht="15.75" customHeight="1" x14ac:dyDescent="0.2">
      <c r="B1220" s="2"/>
      <c r="C1220" s="12"/>
      <c r="D1220" s="13"/>
      <c r="E1220" s="110"/>
      <c r="F1220" s="110"/>
      <c r="G1220" s="110"/>
      <c r="H1220" s="13"/>
      <c r="I1220" s="13"/>
      <c r="J1220" s="13"/>
      <c r="K1220" s="14"/>
      <c r="L1220" s="18"/>
    </row>
    <row r="1221" spans="2:12" s="1" customFormat="1" ht="15" x14ac:dyDescent="0.25">
      <c r="B1221" s="2"/>
      <c r="C1221" s="24" t="s">
        <v>1461</v>
      </c>
      <c r="D1221" s="25"/>
      <c r="E1221" s="26"/>
      <c r="F1221" s="111" t="s">
        <v>1462</v>
      </c>
      <c r="G1221" s="111"/>
      <c r="H1221" s="111"/>
      <c r="I1221" s="111"/>
      <c r="J1221" s="111"/>
      <c r="K1221" s="17"/>
      <c r="L1221" s="18"/>
    </row>
    <row r="1222" spans="2:12" s="1" customFormat="1" ht="15" x14ac:dyDescent="0.25">
      <c r="B1222" s="17"/>
      <c r="C1222" s="24"/>
      <c r="D1222" s="27"/>
      <c r="E1222" s="28"/>
      <c r="F1222" s="112" t="s">
        <v>1463</v>
      </c>
      <c r="G1222" s="112"/>
      <c r="H1222" s="112" t="s">
        <v>1464</v>
      </c>
      <c r="I1222" s="112"/>
      <c r="J1222" s="112"/>
      <c r="K1222" s="17"/>
      <c r="L1222" s="18"/>
    </row>
    <row r="1223" spans="2:12" s="1" customFormat="1" ht="15" x14ac:dyDescent="0.25">
      <c r="B1223" s="2"/>
      <c r="C1223" s="29" t="s">
        <v>1465</v>
      </c>
      <c r="D1223" s="30"/>
      <c r="E1223" s="28"/>
      <c r="F1223" s="107" t="s">
        <v>1466</v>
      </c>
      <c r="G1223" s="107"/>
      <c r="H1223" s="107" t="s">
        <v>76</v>
      </c>
      <c r="I1223" s="107"/>
      <c r="J1223" s="107"/>
      <c r="K1223" s="17"/>
      <c r="L1223" s="18"/>
    </row>
    <row r="1224" spans="2:12" s="1" customFormat="1" ht="15" x14ac:dyDescent="0.25">
      <c r="B1224" s="2"/>
      <c r="C1224" s="29" t="s">
        <v>1467</v>
      </c>
      <c r="D1224" s="30"/>
      <c r="E1224" s="28"/>
      <c r="F1224" s="107" t="s">
        <v>1468</v>
      </c>
      <c r="G1224" s="107"/>
      <c r="H1224" s="107" t="s">
        <v>154</v>
      </c>
      <c r="I1224" s="107"/>
      <c r="J1224" s="107"/>
      <c r="K1224" s="17"/>
      <c r="L1224" s="18"/>
    </row>
    <row r="1225" spans="2:12" s="1" customFormat="1" ht="15" x14ac:dyDescent="0.25">
      <c r="B1225" s="2"/>
      <c r="C1225" s="29" t="s">
        <v>1469</v>
      </c>
      <c r="D1225" s="30"/>
      <c r="E1225" s="28"/>
      <c r="F1225" s="107" t="s">
        <v>16</v>
      </c>
      <c r="G1225" s="107"/>
      <c r="H1225" s="107" t="s">
        <v>18</v>
      </c>
      <c r="I1225" s="107"/>
      <c r="J1225" s="107"/>
      <c r="K1225" s="17"/>
      <c r="L1225" s="18"/>
    </row>
    <row r="1226" spans="2:12" s="1" customFormat="1" ht="15" x14ac:dyDescent="0.25">
      <c r="B1226" s="2"/>
      <c r="C1226" s="29" t="s">
        <v>1470</v>
      </c>
      <c r="D1226" s="30"/>
      <c r="E1226" s="28"/>
      <c r="F1226" s="107" t="s">
        <v>1471</v>
      </c>
      <c r="G1226" s="107"/>
      <c r="H1226" s="107" t="s">
        <v>1466</v>
      </c>
      <c r="I1226" s="107"/>
      <c r="J1226" s="107"/>
      <c r="K1226" s="17"/>
      <c r="L1226" s="18"/>
    </row>
    <row r="1227" spans="2:12" s="1" customFormat="1" ht="15" x14ac:dyDescent="0.25">
      <c r="B1227" s="2"/>
      <c r="C1227" s="29" t="s">
        <v>1472</v>
      </c>
      <c r="D1227" s="30"/>
      <c r="E1227" s="28"/>
      <c r="F1227" s="107" t="s">
        <v>1473</v>
      </c>
      <c r="G1227" s="107"/>
      <c r="H1227" s="107" t="s">
        <v>1468</v>
      </c>
      <c r="I1227" s="107"/>
      <c r="J1227" s="107"/>
      <c r="K1227" s="17"/>
      <c r="L1227" s="18"/>
    </row>
    <row r="1228" spans="2:12" s="1" customFormat="1" ht="15" x14ac:dyDescent="0.25">
      <c r="B1228" s="2"/>
      <c r="C1228" s="29" t="s">
        <v>1474</v>
      </c>
      <c r="D1228" s="30"/>
      <c r="E1228" s="28"/>
      <c r="F1228" s="107" t="s">
        <v>1475</v>
      </c>
      <c r="G1228" s="107"/>
      <c r="H1228" s="107"/>
      <c r="I1228" s="107"/>
      <c r="J1228" s="107"/>
      <c r="K1228" s="17"/>
      <c r="L1228" s="18"/>
    </row>
    <row r="1229" spans="2:12" s="1" customFormat="1" ht="15" x14ac:dyDescent="0.25">
      <c r="B1229" s="2"/>
      <c r="C1229" s="29" t="s">
        <v>1476</v>
      </c>
      <c r="D1229" s="30"/>
      <c r="E1229" s="28"/>
      <c r="F1229" s="107" t="s">
        <v>1477</v>
      </c>
      <c r="G1229" s="107"/>
      <c r="H1229" s="107" t="s">
        <v>16</v>
      </c>
      <c r="I1229" s="107"/>
      <c r="J1229" s="107"/>
      <c r="K1229" s="17"/>
      <c r="L1229" s="18"/>
    </row>
    <row r="1230" spans="2:12" s="1" customFormat="1" ht="15" x14ac:dyDescent="0.25">
      <c r="B1230" s="2"/>
      <c r="C1230" s="29" t="s">
        <v>1478</v>
      </c>
      <c r="D1230" s="30"/>
      <c r="E1230" s="28"/>
      <c r="F1230" s="107" t="s">
        <v>1479</v>
      </c>
      <c r="G1230" s="107"/>
      <c r="H1230" s="107"/>
      <c r="I1230" s="107"/>
      <c r="J1230" s="107"/>
      <c r="K1230" s="17"/>
      <c r="L1230" s="18"/>
    </row>
    <row r="1231" spans="2:12" s="1" customFormat="1" ht="15" x14ac:dyDescent="0.25">
      <c r="B1231" s="2"/>
      <c r="C1231" s="18"/>
      <c r="D1231" s="13"/>
      <c r="E1231" s="31"/>
      <c r="F1231" s="13"/>
      <c r="G1231" s="13"/>
      <c r="H1231" s="13"/>
      <c r="I1231" s="13"/>
      <c r="J1231" s="13"/>
      <c r="K1231" s="17"/>
      <c r="L1231" s="18"/>
    </row>
    <row r="1232" spans="2:12" s="1" customFormat="1" ht="15" x14ac:dyDescent="0.2">
      <c r="B1232" s="2"/>
      <c r="C1232" s="32" t="s">
        <v>1480</v>
      </c>
      <c r="D1232" s="33"/>
      <c r="E1232" s="34" t="s">
        <v>1481</v>
      </c>
      <c r="F1232" s="33"/>
      <c r="G1232" s="33"/>
      <c r="H1232" s="33"/>
      <c r="I1232" s="33"/>
      <c r="J1232" s="33"/>
      <c r="K1232" s="35"/>
      <c r="L1232" s="18"/>
    </row>
    <row r="1233" spans="2:12" s="1" customFormat="1" ht="15" x14ac:dyDescent="0.2">
      <c r="B1233" s="2"/>
      <c r="C1233" s="32" t="s">
        <v>1482</v>
      </c>
      <c r="D1233" s="33"/>
      <c r="E1233" s="34" t="s">
        <v>1483</v>
      </c>
      <c r="F1233" s="33"/>
      <c r="G1233" s="33"/>
      <c r="H1233" s="33"/>
      <c r="I1233" s="33"/>
      <c r="J1233" s="33"/>
      <c r="K1233" s="35"/>
      <c r="L1233" s="18"/>
    </row>
    <row r="1234" spans="2:12" s="1" customFormat="1" x14ac:dyDescent="0.2">
      <c r="B1234" s="2"/>
      <c r="C1234" s="21"/>
      <c r="D1234" s="2"/>
      <c r="E1234" s="15"/>
      <c r="F1234" s="2"/>
      <c r="G1234" s="2"/>
      <c r="H1234" s="2"/>
      <c r="I1234" s="2"/>
      <c r="J1234" s="2"/>
      <c r="K1234" s="17"/>
      <c r="L1234" s="18"/>
    </row>
    <row r="1235" spans="2:12" s="1" customFormat="1" x14ac:dyDescent="0.2">
      <c r="B1235" s="2"/>
      <c r="C1235" s="13"/>
      <c r="D1235" s="13"/>
      <c r="E1235" s="13"/>
      <c r="F1235" s="13"/>
      <c r="G1235" s="13"/>
      <c r="H1235" s="13"/>
      <c r="I1235" s="13"/>
      <c r="J1235" s="13"/>
      <c r="K1235" s="13"/>
      <c r="L1235" s="2"/>
    </row>
    <row r="1236" spans="2:12" s="1" customFormat="1" x14ac:dyDescent="0.2">
      <c r="B1236" s="2"/>
      <c r="C1236" s="2"/>
      <c r="D1236" s="2"/>
      <c r="E1236" s="2"/>
      <c r="F1236" s="2"/>
      <c r="G1236" s="2"/>
      <c r="H1236" s="2"/>
      <c r="I1236" s="2"/>
      <c r="J1236" s="2"/>
      <c r="K1236" s="2"/>
      <c r="L1236" s="2"/>
    </row>
    <row r="1237" spans="2:12" s="1" customFormat="1" x14ac:dyDescent="0.2">
      <c r="B1237" s="2"/>
      <c r="C1237" s="2"/>
      <c r="D1237" s="2"/>
      <c r="E1237" s="2"/>
      <c r="F1237" s="2"/>
      <c r="G1237" s="2"/>
      <c r="H1237" s="2"/>
      <c r="I1237" s="2"/>
      <c r="J1237" s="2"/>
      <c r="K1237" s="2"/>
      <c r="L1237" s="2"/>
    </row>
    <row r="1238" spans="2:12" s="1" customFormat="1" x14ac:dyDescent="0.2">
      <c r="B1238" s="2"/>
      <c r="C1238" s="2"/>
      <c r="D1238" s="2"/>
      <c r="E1238" s="2"/>
      <c r="F1238" s="2"/>
      <c r="G1238" s="2"/>
      <c r="H1238" s="2"/>
      <c r="I1238" s="2"/>
      <c r="J1238" s="2"/>
      <c r="K1238" s="2"/>
      <c r="L1238" s="2"/>
    </row>
  </sheetData>
  <mergeCells count="38">
    <mergeCell ref="C3:J3"/>
    <mergeCell ref="I6:K7"/>
    <mergeCell ref="I8:K9"/>
    <mergeCell ref="F15:G15"/>
    <mergeCell ref="F16:G16"/>
    <mergeCell ref="F83:G83"/>
    <mergeCell ref="F106:G106"/>
    <mergeCell ref="F114:G114"/>
    <mergeCell ref="F118:G118"/>
    <mergeCell ref="F129:G129"/>
    <mergeCell ref="F174:G174"/>
    <mergeCell ref="F202:G202"/>
    <mergeCell ref="F242:G242"/>
    <mergeCell ref="F327:G327"/>
    <mergeCell ref="F471:G471"/>
    <mergeCell ref="F481:G481"/>
    <mergeCell ref="F945:G945"/>
    <mergeCell ref="F1095:G1095"/>
    <mergeCell ref="F1133:G1133"/>
    <mergeCell ref="E1201:G1202"/>
    <mergeCell ref="E1219:G1220"/>
    <mergeCell ref="F1221:J1221"/>
    <mergeCell ref="F1222:G1222"/>
    <mergeCell ref="H1222:J1222"/>
    <mergeCell ref="F1223:G1223"/>
    <mergeCell ref="H1223:J1223"/>
    <mergeCell ref="F1224:G1224"/>
    <mergeCell ref="H1224:J1224"/>
    <mergeCell ref="F1225:G1225"/>
    <mergeCell ref="H1225:J1225"/>
    <mergeCell ref="F1226:G1226"/>
    <mergeCell ref="H1226:J1226"/>
    <mergeCell ref="F1227:G1227"/>
    <mergeCell ref="H1227:J1228"/>
    <mergeCell ref="F1228:G1228"/>
    <mergeCell ref="F1229:G1229"/>
    <mergeCell ref="H1229:J1230"/>
    <mergeCell ref="F1230:G1230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Селюк Андрей Владимирович</dc:creator>
  <cp:lastModifiedBy>Селюк Андрей Владимирович</cp:lastModifiedBy>
  <dcterms:created xsi:type="dcterms:W3CDTF">2025-11-17T06:06:04Z</dcterms:created>
  <dcterms:modified xsi:type="dcterms:W3CDTF">2025-11-17T06:09:19Z</dcterms:modified>
</cp:coreProperties>
</file>